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9919388A-B0D1-453A-ABB5-093790254B9A}" xr6:coauthVersionLast="47" xr6:coauthVersionMax="47" xr10:uidLastSave="{00000000-0000-0000-0000-000000000000}"/>
  <bookViews>
    <workbookView xWindow="-20436" yWindow="7008" windowWidth="17280" windowHeight="5376" tabRatio="878" activeTab="10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47" i="3" l="1"/>
  <c r="AQ441" i="3"/>
  <c r="AQ437" i="3"/>
  <c r="AQ448" i="3"/>
  <c r="AQ434" i="3"/>
  <c r="AQ460" i="3"/>
  <c r="AQ439" i="3"/>
  <c r="AR407" i="3" l="1"/>
  <c r="C24" i="26" l="1"/>
  <c r="C9" i="26"/>
  <c r="A443" i="3" l="1"/>
  <c r="D12" i="26" l="1"/>
  <c r="D11" i="26"/>
  <c r="D16" i="26" l="1"/>
  <c r="D15" i="26"/>
  <c r="D14" i="26"/>
  <c r="D13" i="26"/>
  <c r="D20" i="26"/>
  <c r="D18" i="26"/>
  <c r="D19" i="26"/>
  <c r="AR502" i="3"/>
  <c r="D17" i="26" l="1"/>
  <c r="D21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AQ496" i="3" s="1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D97" i="3" l="1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12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6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12" i="26"/>
  <c r="F210" i="3"/>
  <c r="E298" i="3"/>
  <c r="F395" i="3"/>
  <c r="E395" i="3" s="1"/>
  <c r="F330" i="3"/>
  <c r="D44" i="19"/>
  <c r="D24" i="19"/>
  <c r="D28" i="19"/>
  <c r="D45" i="19"/>
  <c r="AI497" i="17"/>
  <c r="P330" i="3" l="1"/>
  <c r="H16" i="26"/>
  <c r="K11" i="28"/>
  <c r="K6" i="28"/>
  <c r="J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14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5" i="26" s="1"/>
  <c r="F186" i="3"/>
  <c r="E114" i="3"/>
  <c r="E118" i="3"/>
  <c r="E153" i="3" l="1"/>
  <c r="E122" i="3"/>
  <c r="E155" i="3"/>
  <c r="E108" i="3"/>
  <c r="E135" i="3"/>
  <c r="P231" i="3"/>
  <c r="H15" i="26"/>
  <c r="P155" i="3"/>
  <c r="H14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31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31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35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95" i="17"/>
  <c r="F122" i="17"/>
  <c r="Z411" i="17"/>
  <c r="Z415" i="17"/>
  <c r="D35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120" i="17" l="1"/>
  <c r="D27" i="26"/>
  <c r="P119" i="17"/>
  <c r="F27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33" i="26" s="1"/>
  <c r="P35" i="17"/>
  <c r="Z481" i="17"/>
  <c r="D33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30" i="26" s="1"/>
  <c r="F186" i="17"/>
  <c r="Y409" i="17"/>
  <c r="Z419" i="17"/>
  <c r="F74" i="17"/>
  <c r="D24" i="17"/>
  <c r="D27" i="17"/>
  <c r="D26" i="26" s="1"/>
  <c r="E13" i="17"/>
  <c r="F155" i="17"/>
  <c r="D108" i="17"/>
  <c r="D105" i="17"/>
  <c r="E105" i="17" s="1"/>
  <c r="E97" i="17"/>
  <c r="Q186" i="17"/>
  <c r="Q194" i="17"/>
  <c r="F30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6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8" i="26"/>
  <c r="E153" i="17"/>
  <c r="D29" i="26"/>
  <c r="E54" i="17"/>
  <c r="D28" i="26"/>
  <c r="D32" i="26" s="1"/>
  <c r="P122" i="17"/>
  <c r="F29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34" i="26" l="1"/>
  <c r="D36" i="26" s="1"/>
  <c r="F34" i="26"/>
  <c r="F32" i="26"/>
  <c r="F36" i="26" s="1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302" i="3" l="1"/>
  <c r="L32" i="3"/>
  <c r="L178" i="3"/>
  <c r="L181" i="3"/>
  <c r="L31" i="3"/>
  <c r="L112" i="3"/>
  <c r="N112" i="3" s="1"/>
  <c r="L113" i="3"/>
  <c r="N113" i="3" s="1"/>
  <c r="L172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N302" i="3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N178" i="3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N21" i="3" s="1"/>
  <c r="L22" i="3"/>
  <c r="L19" i="3"/>
  <c r="L17" i="3"/>
  <c r="L15" i="3"/>
  <c r="J6" i="3"/>
  <c r="J244" i="3"/>
  <c r="J247" i="3"/>
  <c r="N75" i="17" l="1"/>
  <c r="S75" i="17"/>
  <c r="N83" i="17"/>
  <c r="N59" i="3"/>
  <c r="M94" i="3"/>
  <c r="J97" i="3"/>
  <c r="X109" i="3" s="1"/>
  <c r="AH491" i="17"/>
  <c r="AI491" i="17" s="1"/>
  <c r="AH491" i="3"/>
  <c r="AI491" i="3" s="1"/>
  <c r="E66" i="19"/>
  <c r="H20" i="26"/>
  <c r="AH469" i="3"/>
  <c r="AI469" i="3" s="1"/>
  <c r="L97" i="3"/>
  <c r="N97" i="3" s="1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AP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M97" i="3" l="1"/>
  <c r="R97" i="3"/>
  <c r="R13" i="17"/>
  <c r="C35" i="26"/>
  <c r="G35" i="26" s="1"/>
  <c r="W159" i="3"/>
  <c r="C12" i="26"/>
  <c r="M97" i="17"/>
  <c r="M98" i="17" s="1"/>
  <c r="C27" i="26"/>
  <c r="AH478" i="3"/>
  <c r="AI478" i="3" s="1"/>
  <c r="C20" i="26"/>
  <c r="AS498" i="3"/>
  <c r="AI495" i="3"/>
  <c r="F20" i="26"/>
  <c r="AH463" i="3"/>
  <c r="Y417" i="3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11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11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8" i="3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8" i="17"/>
  <c r="F11" i="19"/>
  <c r="H11" i="19" s="1"/>
  <c r="AN450" i="3"/>
  <c r="AO450" i="3" s="1"/>
  <c r="AF466" i="3"/>
  <c r="R98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8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9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X28" i="3" s="1"/>
  <c r="K22" i="3"/>
  <c r="R22" i="3" s="1"/>
  <c r="K23" i="3"/>
  <c r="R23" i="3" s="1"/>
  <c r="K21" i="3"/>
  <c r="R21" i="3" s="1"/>
  <c r="K13" i="3"/>
  <c r="E35" i="26" l="1"/>
  <c r="G29" i="26"/>
  <c r="E29" i="26"/>
  <c r="N194" i="17"/>
  <c r="N195" i="17" s="1"/>
  <c r="C30" i="26"/>
  <c r="G28" i="26"/>
  <c r="E28" i="26"/>
  <c r="M27" i="17"/>
  <c r="M28" i="17" s="1"/>
  <c r="C26" i="26"/>
  <c r="W82" i="3"/>
  <c r="C11" i="26"/>
  <c r="G27" i="26"/>
  <c r="E27" i="26"/>
  <c r="I12" i="26"/>
  <c r="E12" i="26"/>
  <c r="G12" i="26"/>
  <c r="D14" i="19"/>
  <c r="E41" i="3"/>
  <c r="F13" i="26"/>
  <c r="F17" i="26" s="1"/>
  <c r="P72" i="3"/>
  <c r="H13" i="26"/>
  <c r="H17" i="26" s="1"/>
  <c r="X27" i="3"/>
  <c r="C13" i="26"/>
  <c r="C15" i="26"/>
  <c r="X194" i="3"/>
  <c r="E67" i="19"/>
  <c r="H18" i="26"/>
  <c r="D67" i="19"/>
  <c r="F18" i="26"/>
  <c r="G20" i="26"/>
  <c r="I20" i="26"/>
  <c r="E20" i="26"/>
  <c r="AF481" i="3"/>
  <c r="C18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9" i="26" s="1"/>
  <c r="P54" i="3"/>
  <c r="AL407" i="3"/>
  <c r="Q85" i="3"/>
  <c r="E12" i="19"/>
  <c r="E10" i="19"/>
  <c r="AL468" i="3"/>
  <c r="H19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31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34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E26" i="26" l="1"/>
  <c r="G26" i="26"/>
  <c r="I11" i="26"/>
  <c r="E11" i="26"/>
  <c r="G11" i="26"/>
  <c r="G30" i="26"/>
  <c r="E30" i="26"/>
  <c r="E31" i="26"/>
  <c r="G31" i="26"/>
  <c r="C32" i="26"/>
  <c r="AH468" i="17"/>
  <c r="AI468" i="17" s="1"/>
  <c r="G13" i="26"/>
  <c r="X314" i="3"/>
  <c r="C16" i="26"/>
  <c r="N108" i="3"/>
  <c r="N109" i="3" s="1"/>
  <c r="X108" i="3"/>
  <c r="C14" i="26"/>
  <c r="G15" i="26"/>
  <c r="E15" i="26"/>
  <c r="I15" i="26"/>
  <c r="E13" i="26"/>
  <c r="I13" i="26"/>
  <c r="I18" i="26"/>
  <c r="G18" i="26"/>
  <c r="E18" i="26"/>
  <c r="F21" i="26"/>
  <c r="AP468" i="3"/>
  <c r="AS468" i="3" s="1"/>
  <c r="C19" i="26"/>
  <c r="H21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7" i="26" l="1"/>
  <c r="E17" i="26" s="1"/>
  <c r="G32" i="26"/>
  <c r="E32" i="26"/>
  <c r="G34" i="26"/>
  <c r="E34" i="26"/>
  <c r="I17" i="26"/>
  <c r="G17" i="26"/>
  <c r="I14" i="26"/>
  <c r="E14" i="26"/>
  <c r="G14" i="26"/>
  <c r="I16" i="26"/>
  <c r="G16" i="26"/>
  <c r="E16" i="26"/>
  <c r="E19" i="26"/>
  <c r="G19" i="26"/>
  <c r="I19" i="26"/>
  <c r="C21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33" i="26" s="1"/>
  <c r="E74" i="19"/>
  <c r="E75" i="19" s="1"/>
  <c r="AN468" i="3"/>
  <c r="AO468" i="3" s="1"/>
  <c r="S353" i="3"/>
  <c r="I21" i="26" l="1"/>
  <c r="G21" i="26"/>
  <c r="E33" i="26"/>
  <c r="E36" i="26" s="1"/>
  <c r="G33" i="26"/>
  <c r="G36" i="26" s="1"/>
  <c r="C36" i="26"/>
  <c r="E21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7" i="3" l="1"/>
  <c r="AF513" i="3"/>
  <c r="AG513" i="3" s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17" s="1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<sst xmlns="http://schemas.openxmlformats.org/spreadsheetml/2006/main" count="16708" uniqueCount="2992">
  <si>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</si>
  <si>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</si>
  <si>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</si>
  <si>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</si>
  <si>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</si>
  <si>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</si>
  <si>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</si>
  <si>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</si>
  <si>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</si>
  <si>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</si>
  <si>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</si>
  <si>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</si>
  <si>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</si>
  <si>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</si>
  <si>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</si>
  <si>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</si>
  <si>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</si>
  <si>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</si>
  <si>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</si>
  <si>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</si>
  <si>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</si>
  <si>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</si>
  <si>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</si>
  <si>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</si>
  <si>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</si>
  <si>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</si>
  <si>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</si>
  <si>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</si>
  <si>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</si>
  <si>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</si>
  <si>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</si>
  <si>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</si>
  <si>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</si>
  <si>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</si>
  <si>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</si>
  <si>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</si>
  <si>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</si>
  <si>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</si>
  <si>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</si>
  <si>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</si>
  <si>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</si>
  <si>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</si>
  <si>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</si>
  <si>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</si>
  <si>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</si>
  <si>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</si>
  <si>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</si>
  <si>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</si>
  <si>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</si>
  <si>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</si>
  <si>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</si>
  <si>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</si>
  <si>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</si>
  <si>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</si>
  <si>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</si>
  <si>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</si>
  <si>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</si>
  <si>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</si>
  <si>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</si>
  <si>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</si>
  <si>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</si>
  <si>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</si>
  <si>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</si>
  <si>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</si>
  <si>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</si>
  <si>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</si>
  <si>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</si>
  <si>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</si>
  <si>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</si>
  <si>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</si>
  <si>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</si>
  <si>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</si>
  <si>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</si>
  <si>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</si>
  <si>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</si>
  <si>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</si>
  <si>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</si>
  <si>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</si>
  <si>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</si>
  <si>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</si>
  <si>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</si>
  <si>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</si>
  <si>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</si>
  <si>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</si>
  <si>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</si>
  <si>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</si>
  <si>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</si>
  <si>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</si>
  <si>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</si>
  <si>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</si>
  <si>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</si>
  <si>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</si>
  <si>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</si>
  <si>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</si>
  <si>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</si>
  <si>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</si>
  <si>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</si>
  <si>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</si>
  <si>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</si>
  <si>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</si>
  <si>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</si>
  <si>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</si>
  <si>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</si>
  <si>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</si>
  <si>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</si>
  <si>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</si>
  <si>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</si>
  <si>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</si>
  <si>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</si>
  <si>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</si>
  <si>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</si>
  <si>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</si>
  <si>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</si>
  <si>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</si>
  <si>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</si>
  <si>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</si>
  <si>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</si>
  <si>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</si>
  <si>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</si>
  <si>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</si>
  <si>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</si>
  <si>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</si>
  <si>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</si>
  <si>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</si>
  <si>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</si>
  <si>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</si>
  <si>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</si>
  <si>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</si>
  <si>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</si>
  <si>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</si>
  <si>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</si>
  <si>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</si>
  <si>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</si>
  <si>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</si>
  <si>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</si>
  <si>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</si>
  <si>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</si>
  <si>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</si>
  <si>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</si>
  <si>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</si>
  <si>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</si>
  <si>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</si>
  <si>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</si>
  <si>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</si>
  <si>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</si>
  <si>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</si>
  <si>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</si>
  <si>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</si>
  <si>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</si>
  <si>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</si>
  <si>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</si>
  <si>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</si>
  <si>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</si>
  <si>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</si>
  <si>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</si>
  <si>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</si>
  <si>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</si>
  <si>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</si>
  <si>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</si>
  <si>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</si>
  <si>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</si>
  <si>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</si>
  <si>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</si>
  <si>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</si>
  <si>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</si>
  <si>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</si>
  <si>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</si>
  <si>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</si>
  <si>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</si>
  <si>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</si>
  <si>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</si>
  <si>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</si>
  <si>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</si>
  <si>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</si>
  <si>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</si>
  <si>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</si>
  <si>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</si>
  <si>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</si>
  <si>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</si>
  <si>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</si>
  <si>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</si>
  <si>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</si>
  <si>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</si>
  <si>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</si>
  <si>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</si>
  <si>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</si>
  <si>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</si>
  <si>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</si>
  <si>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</si>
  <si>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</si>
  <si>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</si>
  <si>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</si>
  <si>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</si>
  <si>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</si>
  <si>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</si>
  <si>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</si>
  <si>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</si>
  <si>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</si>
  <si>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</si>
  <si>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</si>
  <si>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</si>
  <si>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</si>
  <si>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</si>
  <si>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</si>
  <si>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</si>
  <si>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</si>
  <si>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</si>
  <si>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</si>
  <si>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</si>
  <si>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</si>
  <si>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</si>
  <si>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</si>
  <si>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</si>
  <si>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</si>
  <si>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</si>
  <si>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</si>
  <si>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</si>
  <si>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</si>
  <si>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</si>
  <si>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</si>
  <si>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</si>
  <si>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</si>
  <si>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</si>
  <si>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</si>
  <si>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</si>
  <si>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</si>
  <si>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</si>
  <si>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</si>
  <si>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</si>
  <si>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</si>
  <si>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</si>
  <si>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</si>
  <si>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</si>
  <si>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</si>
  <si>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</si>
  <si>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</si>
  <si>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</si>
  <si>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</si>
  <si>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</si>
  <si>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</si>
  <si>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</si>
  <si>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</si>
  <si>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</si>
  <si>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</si>
  <si>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</si>
  <si>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</si>
  <si>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</si>
  <si>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</si>
  <si>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</si>
  <si>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</si>
  <si>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</si>
  <si>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</si>
  <si>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</si>
  <si>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</si>
  <si>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</si>
  <si>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</si>
  <si>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</si>
  <si>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</si>
  <si>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</si>
  <si>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</si>
  <si>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</si>
  <si>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</si>
  <si>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</si>
  <si>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</si>
  <si>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</si>
  <si>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</si>
  <si>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</si>
  <si>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</si>
  <si>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</si>
  <si>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</si>
  <si>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</si>
  <si>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</si>
  <si>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</si>
  <si>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</si>
  <si>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</si>
  <si>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</si>
  <si>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</si>
  <si>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</si>
  <si>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</si>
  <si>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</si>
  <si>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</si>
  <si>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</si>
  <si>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</si>
  <si>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</si>
  <si>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</si>
  <si>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</si>
  <si>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</si>
  <si>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</si>
  <si>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</si>
  <si>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</si>
  <si>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</si>
  <si>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</si>
  <si>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</si>
  <si>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</si>
  <si>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</si>
  <si>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</si>
  <si>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</si>
  <si>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</si>
  <si>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</si>
  <si>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</si>
  <si>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</si>
  <si>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</si>
  <si>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</si>
  <si>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</si>
  <si>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</si>
  <si>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</si>
  <si>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</si>
  <si>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</si>
  <si>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</si>
  <si>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</si>
  <si>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</si>
  <si>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</si>
  <si>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</si>
  <si>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</si>
  <si>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</si>
  <si>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</si>
  <si>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</si>
  <si>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</si>
  <si>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</si>
  <si>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</si>
  <si>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</si>
  <si>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</si>
  <si>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</si>
  <si>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</si>
  <si>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</si>
  <si>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</si>
  <si>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</si>
  <si>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</si>
  <si>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</si>
  <si>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</si>
  <si>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</si>
  <si>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</si>
  <si>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</si>
  <si>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</si>
  <si>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</si>
  <si>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</si>
  <si>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</si>
  <si>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</si>
  <si>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</si>
  <si>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</si>
  <si>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</si>
  <si>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</si>
  <si>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</si>
  <si>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</si>
  <si>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</si>
  <si>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</si>
  <si>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</si>
  <si>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</si>
  <si>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</si>
  <si>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</si>
  <si>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</si>
  <si>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</si>
  <si>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</si>
  <si>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</si>
  <si>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</si>
  <si>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</si>
  <si>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</si>
  <si>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</si>
  <si>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</si>
  <si>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</si>
  <si>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</si>
  <si>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</si>
  <si>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</si>
  <si>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</si>
  <si>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</si>
  <si>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</si>
  <si>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</si>
  <si>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</si>
  <si>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</si>
  <si>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</si>
  <si>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</si>
  <si>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</si>
  <si>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</si>
  <si>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</si>
  <si>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</si>
  <si>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</si>
  <si>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</si>
  <si>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</si>
  <si>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</si>
  <si>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</si>
  <si>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</si>
  <si>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</si>
  <si>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</si>
  <si>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</si>
  <si>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</si>
  <si>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</si>
  <si>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</si>
  <si>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</si>
  <si>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</si>
  <si>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</si>
  <si>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</si>
  <si>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</si>
  <si>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</si>
  <si>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</si>
  <si>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</si>
  <si>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</si>
  <si>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</si>
  <si>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</si>
  <si>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</si>
  <si>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</si>
  <si>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</si>
  <si>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</si>
  <si>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</si>
  <si>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</si>
  <si>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</si>
  <si>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</si>
  <si>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</si>
  <si>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</si>
  <si>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</si>
  <si>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</si>
  <si>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</si>
  <si>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</si>
  <si>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</si>
  <si>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</si>
  <si>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</si>
  <si>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</si>
  <si>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</si>
  <si>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</si>
  <si>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</si>
  <si>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</si>
  <si>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</si>
  <si>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</si>
  <si>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</si>
  <si>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</si>
  <si>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</si>
  <si>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</si>
  <si>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</si>
  <si>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</si>
  <si>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</si>
  <si>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</si>
  <si>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</si>
  <si>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</si>
  <si>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</si>
  <si>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</si>
  <si>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</si>
  <si>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</si>
  <si>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</si>
  <si>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</si>
  <si>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</si>
  <si>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</si>
  <si>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</si>
  <si>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</si>
  <si>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</si>
  <si>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</si>
  <si>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</si>
  <si>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</si>
  <si>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</si>
  <si>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</si>
  <si>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</si>
  <si>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</si>
  <si>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</si>
  <si>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</si>
  <si>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</si>
  <si>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</si>
  <si>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</si>
  <si>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</si>
  <si>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</si>
  <si>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</si>
  <si>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</si>
  <si>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</si>
  <si>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</si>
  <si>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</si>
  <si>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</si>
  <si>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</si>
  <si>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</si>
  <si>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</si>
  <si>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</si>
  <si>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</si>
  <si>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</si>
  <si>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</si>
  <si>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</si>
  <si>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</si>
  <si>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</si>
  <si>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</si>
  <si>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</si>
  <si>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</si>
  <si>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</si>
  <si>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</si>
  <si>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</si>
  <si>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</si>
  <si>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</si>
  <si>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</si>
  <si>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</si>
  <si>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</si>
  <si>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</si>
  <si>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</si>
  <si>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</si>
  <si>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</si>
  <si>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</si>
  <si>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</si>
  <si>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</si>
  <si>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</si>
  <si>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</si>
  <si>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</si>
  <si>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</si>
  <si>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</si>
  <si>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</si>
  <si>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</si>
  <si>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</si>
  <si>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</si>
  <si>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</si>
  <si>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</si>
  <si>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</si>
  <si>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</si>
  <si>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</si>
  <si>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</si>
  <si>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</si>
  <si>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</si>
  <si>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</si>
  <si>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</si>
  <si>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</si>
  <si>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</si>
  <si>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</si>
  <si>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</si>
  <si>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</si>
  <si>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</si>
  <si>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</si>
  <si>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</si>
  <si>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</si>
  <si>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</si>
  <si>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</si>
  <si>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</si>
  <si>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</si>
  <si>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</si>
  <si>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</si>
  <si>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</si>
  <si>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</si>
  <si>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</si>
  <si>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</si>
  <si>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</si>
  <si>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</si>
  <si>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</si>
  <si>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</si>
  <si>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</si>
  <si>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</si>
  <si>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</si>
  <si>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</si>
  <si>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</si>
  <si>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</si>
  <si>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</si>
  <si>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</si>
  <si>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</si>
  <si>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</si>
  <si>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</si>
  <si>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</si>
  <si>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</si>
  <si>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</si>
  <si>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</si>
  <si>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</si>
  <si>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</si>
  <si>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</si>
  <si>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</si>
  <si>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</si>
  <si>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</si>
  <si>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</si>
  <si>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</si>
  <si>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</si>
  <si>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</si>
  <si>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</si>
  <si>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</si>
  <si>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</si>
  <si>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</si>
  <si>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</si>
  <si>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</si>
  <si>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</si>
  <si>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</si>
  <si>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</si>
  <si>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</si>
  <si>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</si>
  <si>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</si>
  <si>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</si>
  <si>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</si>
  <si>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</si>
  <si>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</si>
  <si>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</si>
  <si>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</si>
  <si>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</si>
  <si>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</si>
  <si>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</si>
  <si>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</si>
  <si>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</si>
  <si>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</si>
  <si>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</si>
  <si>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</si>
  <si>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</si>
  <si>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</si>
  <si>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</si>
  <si>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</si>
  <si>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</si>
  <si>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</si>
  <si>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</si>
  <si>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</si>
  <si>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</si>
  <si>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</si>
  <si>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</si>
  <si>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</si>
  <si>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</si>
  <si>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</si>
  <si>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</si>
  <si>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</si>
  <si>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</si>
  <si>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</si>
  <si>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</si>
  <si>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</si>
  <si>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</si>
  <si>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</si>
  <si>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</si>
  <si>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</si>
  <si>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</si>
  <si>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</si>
  <si>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</si>
  <si>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</si>
  <si>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</si>
  <si>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</si>
  <si>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</si>
  <si>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</si>
  <si>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</si>
  <si>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</si>
  <si>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</si>
  <si>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</si>
  <si>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</si>
  <si>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</si>
  <si>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</si>
  <si>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</si>
  <si>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</si>
  <si>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</si>
  <si>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</si>
  <si>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</si>
  <si>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</si>
  <si>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</si>
  <si>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</si>
  <si>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</si>
  <si>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</si>
  <si>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</si>
  <si>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</si>
  <si>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</si>
  <si>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</si>
  <si>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</si>
  <si>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</si>
  <si>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</si>
  <si>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</si>
  <si>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</si>
  <si>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</si>
  <si>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</si>
  <si>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</si>
  <si>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</si>
  <si>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</si>
  <si>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</si>
  <si>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</si>
  <si>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</si>
  <si>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</si>
  <si>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</si>
  <si>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</si>
  <si>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</si>
  <si>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</si>
  <si>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</si>
  <si>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</si>
  <si>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</si>
  <si>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</si>
  <si>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</si>
  <si>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</si>
  <si>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</si>
  <si>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</si>
  <si>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</si>
  <si>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</si>
  <si>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</si>
  <si>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</si>
  <si>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</si>
  <si>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</si>
  <si>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</si>
  <si>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</si>
  <si>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</si>
  <si>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</si>
  <si>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</si>
  <si>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</si>
  <si>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</si>
  <si>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</si>
  <si>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</si>
  <si>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</si>
  <si>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</si>
  <si>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</si>
  <si>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</si>
  <si>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</si>
  <si>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</si>
  <si>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</si>
  <si>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</si>
  <si>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</si>
  <si>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</si>
  <si>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</si>
  <si>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</si>
  <si>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</si>
  <si>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</si>
  <si>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</si>
  <si>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</si>
  <si>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</si>
  <si>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</si>
  <si>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</si>
  <si>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</si>
  <si>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</si>
  <si>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</si>
  <si>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</si>
  <si>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</si>
  <si>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</si>
  <si>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</si>
  <si>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</si>
  <si>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</si>
  <si>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</si>
  <si>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</si>
  <si>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</si>
  <si>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</si>
  <si>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</si>
  <si>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</si>
  <si>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</si>
  <si>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</si>
  <si>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</si>
  <si>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</si>
  <si>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</si>
  <si>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</si>
  <si>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</si>
  <si>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</si>
  <si>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</si>
  <si>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</si>
  <si>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</si>
  <si>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</si>
  <si>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</si>
  <si>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</si>
  <si>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</si>
  <si>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</si>
  <si>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</si>
  <si>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</si>
  <si>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</si>
  <si>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</si>
  <si>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</si>
  <si>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</si>
  <si>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</si>
  <si>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</si>
  <si>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</si>
  <si>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</si>
  <si>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</si>
  <si>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</si>
  <si>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</si>
  <si>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</si>
  <si>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</si>
  <si>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</si>
  <si>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</si>
  <si>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</si>
  <si>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</si>
  <si>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</si>
  <si>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</si>
  <si>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</si>
  <si>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</si>
  <si>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</si>
  <si>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</si>
  <si>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</si>
  <si>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</si>
  <si>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</si>
  <si>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</si>
  <si>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</si>
  <si>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</si>
  <si>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</si>
  <si>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</si>
  <si>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</si>
  <si>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</si>
  <si>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</si>
  <si>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</si>
  <si>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</si>
  <si>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</si>
  <si>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</si>
  <si>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</si>
  <si>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</si>
  <si>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</si>
  <si>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</si>
  <si>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</si>
  <si>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</si>
  <si>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</si>
  <si>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</si>
  <si>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</si>
  <si>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</si>
  <si>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</si>
  <si>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</si>
  <si>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</si>
  <si>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</si>
  <si>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</si>
  <si>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</si>
  <si>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</si>
  <si>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</si>
  <si>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</si>
  <si>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</si>
  <si>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</si>
  <si>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</si>
  <si>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</si>
  <si>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</si>
  <si>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</si>
  <si>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</si>
  <si>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</si>
  <si>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</si>
  <si>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</si>
  <si>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</si>
  <si>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</si>
  <si>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</si>
  <si>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</si>
  <si>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</si>
  <si>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</si>
  <si>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</si>
  <si>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</si>
  <si>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</si>
  <si>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</si>
  <si>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</si>
  <si>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</si>
  <si>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</si>
  <si>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</si>
  <si>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</si>
  <si>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</si>
  <si>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</si>
  <si>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</si>
  <si>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</si>
  <si>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</si>
  <si>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</si>
  <si>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</si>
  <si>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</si>
  <si>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</si>
  <si>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</si>
  <si>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</si>
  <si>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</si>
  <si>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</si>
  <si>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</si>
  <si>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</si>
  <si>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</si>
  <si>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</si>
  <si>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</si>
  <si>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</si>
  <si>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</si>
  <si>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</si>
  <si>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</si>
  <si>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</si>
  <si>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</si>
  <si>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</si>
  <si>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</si>
  <si>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</si>
  <si>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</si>
  <si>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</si>
  <si>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</si>
  <si>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</si>
  <si>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</si>
  <si>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</si>
  <si>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</si>
  <si>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</si>
  <si>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</si>
  <si>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</si>
  <si>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</si>
  <si>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</si>
  <si>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</si>
  <si>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</si>
  <si>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</si>
  <si>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</si>
  <si>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</si>
  <si>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</si>
  <si>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</si>
  <si>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</si>
  <si>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</si>
  <si>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</si>
  <si>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</si>
  <si>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</si>
  <si>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</si>
  <si>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</si>
  <si>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</si>
  <si>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</si>
  <si>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</si>
  <si>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</si>
  <si>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</si>
  <si>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</si>
  <si>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</si>
  <si>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</si>
  <si>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</si>
  <si>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</si>
  <si>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</si>
  <si>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</si>
  <si>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</si>
  <si>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</si>
  <si>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</si>
  <si>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</si>
  <si>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</si>
  <si>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</si>
  <si>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</si>
  <si>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</si>
  <si>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</si>
  <si>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</si>
  <si>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</si>
  <si>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</si>
  <si>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</si>
  <si>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</si>
  <si>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</si>
  <si>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</si>
  <si>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</si>
  <si>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</si>
  <si>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</si>
  <si>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</si>
  <si>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</si>
  <si>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</si>
  <si>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</si>
  <si>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</si>
  <si>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</si>
  <si>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</si>
  <si>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</si>
  <si>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</si>
  <si>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</si>
  <si>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</si>
  <si>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</si>
  <si>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</si>
  <si>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</si>
  <si>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</si>
  <si>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</si>
  <si>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</si>
  <si>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</si>
  <si>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</si>
  <si>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</si>
  <si>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</si>
  <si>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</si>
  <si>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</si>
  <si>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</si>
  <si>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</si>
  <si>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</si>
  <si>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</si>
  <si>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</si>
  <si>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</si>
  <si>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</si>
  <si>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</si>
  <si>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</si>
  <si>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</si>
  <si>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</si>
  <si>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</si>
  <si>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</si>
  <si>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</si>
  <si>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</si>
  <si>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</si>
  <si>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</si>
  <si>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</si>
  <si>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</si>
  <si>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</si>
  <si>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</si>
  <si>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</si>
  <si>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</si>
  <si>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</si>
  <si>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</si>
  <si>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</si>
  <si>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</si>
  <si>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</si>
  <si>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</si>
  <si>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</si>
  <si>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</si>
  <si>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</si>
  <si>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</si>
  <si>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</si>
  <si>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</si>
  <si>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</si>
  <si>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</si>
  <si>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</si>
  <si>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</si>
  <si>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</si>
  <si>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</si>
  <si>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</si>
  <si>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</si>
  <si>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</si>
  <si>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</si>
  <si>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</si>
  <si>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</si>
  <si>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</si>
  <si>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</si>
  <si>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</si>
  <si>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</si>
  <si>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</si>
  <si>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</si>
  <si>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</si>
  <si>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</si>
  <si>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</si>
  <si>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</si>
  <si>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</si>
  <si>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</si>
  <si>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</si>
  <si>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</si>
  <si>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</si>
  <si>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</si>
  <si>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</si>
  <si>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</si>
  <si>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</si>
  <si>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</si>
  <si>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</si>
  <si>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</si>
  <si>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</si>
  <si>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</si>
  <si>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</si>
  <si>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</si>
  <si>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</si>
  <si>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</si>
  <si>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</si>
  <si>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</si>
  <si>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</si>
  <si>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</si>
  <si>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</si>
  <si>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</si>
  <si>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</si>
  <si>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</si>
  <si>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</si>
  <si>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</si>
  <si>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</si>
  <si>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</si>
  <si>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</si>
  <si>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</si>
  <si>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</si>
  <si>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</si>
  <si>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</si>
  <si>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</si>
  <si>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</si>
  <si>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</si>
  <si>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</si>
  <si>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</si>
  <si>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</si>
  <si>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</si>
  <si>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</si>
  <si>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</si>
  <si>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</si>
  <si>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</si>
  <si>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</si>
  <si>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</si>
  <si>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</si>
  <si>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</si>
  <si>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</si>
  <si>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</si>
  <si>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</si>
  <si>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</si>
  <si>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</si>
  <si>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</si>
  <si>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</si>
  <si>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</si>
  <si>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</si>
  <si>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</si>
  <si>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</si>
  <si>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</si>
  <si>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</si>
  <si>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</si>
  <si>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</si>
  <si>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</si>
  <si>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</si>
  <si>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</si>
  <si>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</si>
  <si>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</si>
  <si>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</si>
  <si>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</si>
  <si>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</si>
  <si>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</si>
  <si>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</si>
  <si>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</si>
  <si>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</si>
  <si>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</si>
  <si>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</si>
  <si>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</si>
  <si>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</si>
  <si>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</si>
  <si>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</si>
  <si>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</si>
  <si>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</si>
  <si>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</si>
  <si>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</si>
  <si>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</si>
  <si>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</si>
  <si>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</si>
  <si>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</si>
  <si>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</si>
  <si>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</si>
  <si>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</si>
  <si>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</si>
  <si>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</si>
  <si>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</si>
  <si>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</si>
  <si>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</si>
  <si>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</si>
  <si>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</si>
  <si>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</si>
  <si>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</si>
  <si>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</si>
  <si>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</si>
  <si>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</si>
  <si>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</si>
  <si>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</si>
  <si>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</si>
  <si>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</si>
  <si>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</si>
  <si>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</si>
  <si>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</si>
  <si>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</si>
  <si>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</si>
  <si>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</si>
  <si>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</si>
  <si>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</si>
  <si>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</si>
  <si>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</si>
  <si>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</si>
  <si>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</si>
  <si>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</si>
  <si>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</si>
  <si>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</si>
  <si>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</si>
  <si>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</si>
  <si>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</si>
  <si>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</si>
  <si>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</si>
  <si>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</si>
  <si>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</si>
  <si>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</si>
  <si>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</si>
  <si>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</si>
  <si>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</si>
  <si>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</si>
  <si>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</si>
  <si>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</si>
  <si>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</si>
  <si>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</si>
  <si>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</si>
  <si>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</si>
  <si>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</si>
  <si>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</si>
  <si>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</si>
  <si>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</si>
  <si>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</si>
  <si>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</si>
  <si>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</si>
  <si>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</si>
  <si>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</si>
  <si>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</si>
  <si>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</si>
  <si>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</si>
  <si>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</si>
  <si>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</si>
  <si>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</si>
  <si>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</si>
  <si>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</si>
  <si>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</si>
  <si>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</si>
  <si>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</si>
  <si>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</si>
  <si>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</si>
  <si>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</si>
  <si>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</si>
  <si>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</si>
  <si>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</si>
  <si>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</si>
  <si>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</si>
  <si>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</si>
  <si>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</si>
  <si>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</si>
  <si>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</si>
  <si>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</si>
  <si>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</si>
  <si>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</si>
  <si>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</si>
  <si>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</si>
  <si>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</si>
  <si>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</si>
  <si>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</si>
  <si>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</si>
  <si>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</si>
  <si>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</si>
  <si>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</si>
  <si>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</si>
  <si>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</si>
  <si>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</si>
  <si>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</si>
  <si>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</si>
  <si>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</si>
  <si>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</si>
  <si>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</si>
  <si>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</si>
  <si>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</si>
  <si>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</si>
  <si>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</si>
  <si>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</si>
  <si>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</si>
  <si>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</si>
  <si>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</si>
  <si>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</si>
  <si>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</si>
  <si>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</si>
  <si>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</si>
  <si>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</si>
  <si>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</si>
  <si>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</si>
  <si>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</si>
  <si>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</si>
  <si>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</si>
  <si>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</si>
  <si>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</si>
  <si>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</si>
  <si>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</si>
  <si>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</si>
  <si>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</si>
  <si>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</si>
  <si>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</si>
  <si>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</si>
  <si>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</si>
  <si>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</si>
  <si>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</si>
  <si>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</si>
  <si>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</si>
  <si>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</si>
  <si>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</si>
  <si>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</si>
  <si>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</si>
  <si>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</si>
  <si>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</si>
  <si>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</si>
  <si>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</si>
  <si>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</si>
  <si>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</si>
  <si>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</si>
  <si>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</si>
  <si>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</si>
  <si>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</si>
  <si>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</si>
  <si>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</si>
  <si>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</si>
  <si>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</si>
  <si>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</si>
  <si>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</si>
  <si>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</si>
  <si>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</si>
  <si>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</si>
  <si>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</si>
  <si>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</si>
  <si>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</si>
  <si>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</si>
  <si>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</si>
  <si>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</si>
  <si>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</si>
  <si>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</si>
  <si>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</si>
  <si>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</si>
  <si>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</si>
  <si>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</si>
  <si>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</si>
  <si>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</si>
  <si>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</si>
  <si>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</si>
  <si>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</si>
  <si>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</si>
  <si>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</si>
  <si>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</si>
  <si>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</si>
  <si>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</si>
  <si>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</si>
  <si>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</si>
  <si>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</si>
  <si>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</si>
  <si>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</si>
  <si>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</si>
  <si>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</si>
  <si>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</si>
  <si>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</si>
  <si>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</si>
  <si>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</si>
  <si>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</si>
  <si>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</si>
  <si>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</si>
  <si>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</si>
  <si>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</si>
  <si>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</si>
  <si>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</si>
  <si>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</si>
  <si>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</si>
  <si>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</si>
  <si>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</si>
  <si>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</si>
  <si>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</si>
  <si>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</si>
  <si>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</si>
  <si>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</si>
  <si>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</si>
  <si>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</si>
  <si>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</si>
  <si>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</si>
  <si>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</si>
  <si>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</si>
  <si>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</si>
  <si>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</si>
  <si>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</si>
  <si>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</si>
  <si>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</si>
  <si>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</si>
  <si>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</si>
  <si>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</si>
  <si>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</si>
  <si>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</si>
  <si>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</si>
  <si>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</si>
  <si>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</si>
  <si>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</si>
  <si>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</si>
  <si>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</si>
  <si>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</si>
  <si>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</si>
  <si>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</si>
  <si>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</si>
  <si>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</si>
  <si>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</si>
  <si>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</si>
  <si>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</si>
  <si>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</si>
  <si>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</si>
  <si>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</si>
  <si>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</si>
  <si>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</si>
  <si>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</si>
  <si>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</si>
  <si>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</si>
  <si>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</si>
  <si>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</si>
  <si>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</si>
  <si>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</si>
  <si>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</si>
  <si>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</si>
  <si>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</si>
  <si>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</si>
  <si>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</si>
  <si>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</si>
  <si>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</si>
  <si>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</si>
  <si>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</si>
  <si>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</si>
  <si>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</si>
  <si>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</si>
  <si>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</si>
  <si>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</si>
  <si>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</si>
  <si>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</si>
  <si>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</si>
  <si>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</si>
  <si>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</si>
  <si>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</si>
  <si>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</si>
  <si>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</si>
  <si>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</si>
  <si>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</si>
  <si>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</si>
  <si>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</si>
  <si>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</si>
  <si>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</si>
  <si>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</si>
  <si>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</si>
  <si>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</si>
  <si>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</si>
  <si>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</si>
  <si>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</si>
  <si>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</si>
  <si>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</si>
  <si>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</si>
  <si>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</si>
  <si>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</si>
  <si>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</si>
  <si>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</si>
  <si>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</si>
  <si>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</si>
  <si>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</si>
  <si>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</si>
  <si>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</si>
  <si>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</si>
  <si>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</si>
  <si>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</si>
  <si>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</si>
  <si>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</si>
  <si>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</si>
  <si>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</si>
  <si>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</si>
  <si>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</si>
  <si>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</si>
  <si>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</si>
  <si>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</si>
  <si>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</si>
  <si>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</si>
  <si>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</si>
  <si>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</si>
  <si>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</si>
  <si>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</si>
  <si>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</si>
  <si>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</si>
  <si>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</si>
  <si>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</si>
  <si>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</si>
  <si>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</si>
  <si>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</si>
  <si>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</si>
  <si>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</si>
  <si>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</si>
  <si>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</si>
  <si>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</si>
  <si>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</si>
  <si>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</si>
  <si>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</si>
  <si>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</si>
  <si>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</si>
  <si>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</si>
  <si>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</si>
  <si>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</si>
  <si>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</si>
  <si>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</si>
  <si>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</si>
  <si>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</si>
  <si>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</si>
  <si>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</si>
  <si>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</si>
  <si>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</si>
  <si>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</si>
  <si>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</si>
  <si>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</si>
  <si>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</si>
  <si>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</si>
  <si>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</si>
  <si>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</si>
  <si>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</si>
  <si>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</si>
  <si>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</si>
  <si>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</si>
  <si>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</si>
  <si>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</si>
  <si>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</si>
  <si>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</si>
  <si>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</si>
  <si>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</si>
  <si>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</si>
  <si>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</si>
  <si>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</si>
  <si>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</si>
  <si>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</si>
  <si>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</si>
  <si>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</si>
  <si>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</si>
  <si>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</si>
  <si>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</si>
  <si>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</si>
  <si>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</si>
  <si>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</si>
  <si>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</si>
  <si>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</si>
  <si>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</si>
  <si>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</si>
  <si>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</si>
  <si>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</si>
  <si>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</si>
  <si>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</si>
  <si>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</si>
  <si>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</si>
  <si>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</si>
  <si>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</si>
  <si>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</si>
  <si>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</si>
  <si>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</si>
  <si>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</si>
  <si>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</si>
  <si>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</si>
  <si>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</si>
  <si>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</si>
  <si>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</si>
  <si>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</si>
  <si>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</si>
  <si>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</si>
  <si>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</si>
  <si>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</si>
  <si>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</si>
  <si>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</si>
  <si>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</si>
  <si>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</si>
  <si>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</si>
  <si>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</si>
  <si>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</si>
  <si>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</si>
  <si>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</si>
  <si>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</si>
  <si>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</si>
  <si>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</si>
  <si>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</si>
  <si>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</si>
  <si>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</si>
  <si>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</si>
  <si>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</si>
  <si>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</si>
  <si>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</si>
  <si>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</si>
  <si>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</si>
  <si>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</si>
  <si>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</si>
  <si>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</si>
  <si>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</si>
  <si>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</si>
  <si>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</si>
  <si>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</si>
  <si>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</si>
  <si>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</si>
  <si>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</si>
  <si>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</si>
  <si>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</si>
  <si>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</si>
  <si>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</si>
  <si>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</si>
  <si>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</si>
  <si>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</si>
  <si>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</si>
  <si>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</si>
  <si>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</si>
  <si>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</si>
  <si>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</si>
  <si>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</si>
  <si>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</si>
  <si>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</si>
  <si>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</si>
  <si>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</si>
  <si>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</si>
  <si>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</si>
  <si>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</si>
  <si>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</si>
  <si>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</si>
  <si>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</si>
  <si>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</si>
  <si>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</si>
  <si>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</si>
  <si>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</si>
  <si>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</si>
  <si>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</si>
  <si>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</si>
  <si>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</si>
  <si>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</si>
  <si>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</si>
  <si>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</si>
  <si>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</si>
  <si>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</si>
  <si>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</si>
  <si>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</si>
  <si>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</si>
  <si>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</si>
  <si>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</si>
  <si>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</si>
  <si>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</si>
  <si>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</si>
  <si>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</si>
  <si>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</si>
  <si>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</si>
  <si>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</si>
  <si>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</si>
  <si>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</si>
  <si>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</si>
  <si>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</si>
  <si>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</si>
  <si>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</si>
  <si>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</si>
  <si>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</si>
  <si>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</si>
  <si>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</si>
  <si>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</si>
  <si>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</si>
  <si>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</si>
  <si>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</si>
  <si>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</si>
  <si>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</si>
  <si>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</si>
  <si>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</si>
  <si>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</si>
  <si>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</si>
  <si>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</si>
  <si>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</si>
  <si>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</si>
  <si>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</si>
  <si>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</si>
  <si>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</si>
  <si>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</si>
  <si>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</si>
  <si>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</si>
  <si>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</si>
  <si>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</si>
  <si>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</si>
  <si>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</si>
  <si>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</si>
  <si>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</si>
  <si>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</si>
  <si>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</si>
  <si>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</si>
  <si>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</si>
  <si>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</si>
  <si>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</si>
  <si>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</si>
  <si>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</si>
  <si>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</si>
  <si>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</si>
  <si>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</si>
  <si>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</si>
  <si>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</si>
  <si>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</si>
  <si>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</si>
  <si>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</si>
  <si>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</si>
  <si>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</si>
  <si>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</si>
  <si>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</si>
  <si>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</si>
  <si>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</si>
  <si>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</si>
  <si>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</si>
  <si>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</si>
  <si>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</si>
  <si>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</si>
  <si>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</si>
  <si>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</si>
  <si>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</si>
  <si>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</si>
  <si>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</si>
  <si>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</si>
  <si>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</si>
  <si>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</si>
  <si>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</si>
  <si>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</si>
  <si>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</si>
  <si>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</si>
  <si>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</si>
  <si>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</si>
  <si>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</si>
  <si>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</si>
  <si>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</si>
  <si>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</si>
  <si>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</si>
  <si>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</si>
  <si>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</si>
  <si>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</si>
  <si>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</si>
  <si>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</si>
  <si>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</si>
  <si>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</si>
  <si>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</si>
  <si>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</si>
  <si>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</si>
  <si>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</si>
  <si>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</si>
  <si>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</si>
  <si>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</si>
  <si>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</si>
  <si>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</si>
  <si>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</si>
  <si>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</si>
  <si>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</si>
  <si>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</si>
  <si>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</si>
  <si>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</si>
  <si>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</si>
  <si>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</si>
  <si>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</si>
  <si>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</si>
  <si>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</si>
  <si>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</si>
  <si>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</si>
  <si>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</si>
  <si>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</si>
  <si>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</si>
  <si>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</si>
  <si>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</si>
  <si>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</si>
  <si>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</si>
  <si>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</si>
  <si>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</si>
  <si>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</si>
  <si>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</si>
  <si>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</si>
  <si>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</si>
  <si>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</si>
  <si>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</si>
  <si>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</si>
  <si>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</si>
  <si>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</si>
  <si>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</si>
  <si>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</si>
  <si>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</si>
  <si>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</si>
  <si>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</si>
  <si>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</si>
  <si>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</si>
  <si>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</si>
  <si>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</si>
  <si>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</si>
  <si>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</si>
  <si>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</si>
  <si>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</si>
  <si>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</si>
  <si>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</si>
  <si>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</si>
  <si>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</si>
  <si>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</si>
  <si>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</si>
  <si>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</si>
  <si>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</si>
  <si>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</si>
  <si>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</si>
  <si>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</si>
  <si>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</si>
  <si>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</si>
  <si>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</si>
  <si>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</si>
  <si>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</si>
  <si>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</si>
  <si>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</si>
  <si>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</si>
  <si>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</si>
  <si>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</si>
  <si>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</si>
  <si>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</si>
  <si>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</si>
  <si>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</si>
  <si>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</si>
  <si>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</si>
  <si>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</si>
  <si>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</si>
  <si>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</si>
  <si>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</si>
  <si>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</si>
  <si>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</si>
  <si>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</si>
  <si>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</si>
  <si>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</si>
  <si>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</si>
  <si>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</si>
  <si>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</si>
  <si>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</si>
  <si>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</si>
  <si>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</si>
  <si>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</si>
  <si>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</si>
  <si>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</si>
  <si>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</si>
  <si>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</si>
  <si>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</si>
  <si>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</si>
  <si>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</si>
  <si>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</si>
  <si>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</si>
  <si>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</si>
  <si>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</si>
  <si>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</si>
  <si>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</si>
  <si>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</si>
  <si>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</si>
  <si>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</si>
  <si>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</si>
  <si>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</si>
  <si>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</si>
  <si>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</si>
  <si>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</si>
  <si>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</si>
  <si>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</si>
  <si>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</si>
  <si>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</si>
  <si>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</si>
  <si>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</si>
  <si>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</si>
  <si>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</si>
  <si>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</si>
  <si>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</si>
  <si>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</si>
  <si>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</si>
  <si>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</si>
  <si>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</si>
  <si>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</si>
  <si>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</si>
  <si>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</si>
  <si>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</si>
  <si>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</si>
  <si>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</si>
  <si>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</si>
  <si>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</si>
  <si>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</si>
  <si>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</si>
  <si>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</si>
  <si>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</si>
  <si>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</si>
  <si>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</si>
  <si>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</si>
  <si>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</si>
  <si>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</si>
  <si>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</si>
  <si>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</si>
  <si>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</si>
  <si>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</si>
  <si>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</si>
  <si>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</si>
  <si>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</si>
  <si>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</si>
  <si>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</si>
  <si>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</si>
  <si>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</si>
  <si>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</si>
  <si>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</si>
  <si>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</si>
  <si>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</si>
  <si>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</si>
  <si>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</si>
  <si>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</si>
  <si>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</si>
  <si>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</si>
  <si>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</si>
  <si>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</si>
  <si>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</si>
  <si>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</si>
  <si>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</si>
  <si>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</si>
  <si>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</si>
  <si>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</si>
  <si>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</si>
  <si>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</si>
  <si>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</si>
  <si>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</si>
  <si>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</si>
  <si>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</si>
  <si>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</si>
  <si>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</si>
  <si>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</si>
  <si>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</si>
  <si>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</si>
  <si>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</si>
  <si>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</si>
  <si>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</si>
  <si>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</si>
  <si>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</si>
  <si>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</si>
  <si>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</si>
  <si>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</si>
  <si>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</si>
  <si>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</si>
  <si>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</si>
  <si>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</si>
  <si>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</si>
  <si>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</si>
  <si>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</si>
  <si>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</si>
  <si>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</si>
  <si>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</si>
  <si>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</si>
  <si>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</si>
  <si>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</si>
  <si>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</si>
  <si>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</si>
  <si>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</si>
  <si>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</si>
  <si>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</si>
  <si>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</si>
  <si>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</si>
  <si>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</si>
  <si>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</si>
  <si>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</si>
  <si>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</si>
  <si>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</si>
  <si>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</si>
  <si>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</si>
  <si>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</si>
  <si>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</si>
  <si>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</si>
  <si>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</si>
  <si>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</si>
  <si>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</si>
  <si>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</si>
  <si>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</si>
  <si>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</si>
  <si>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</si>
  <si>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</si>
  <si>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</si>
  <si>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</si>
  <si>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</si>
  <si>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</si>
  <si>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</si>
  <si>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</si>
  <si>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</si>
  <si>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</si>
  <si>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</si>
  <si>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</si>
  <si>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</si>
  <si>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</si>
  <si>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</si>
  <si>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</si>
  <si>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</si>
  <si>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</si>
  <si>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</si>
  <si>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</si>
  <si>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</si>
  <si>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</si>
  <si>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</si>
  <si>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</si>
  <si>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</si>
  <si>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</si>
  <si>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</si>
  <si>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</si>
  <si>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</si>
  <si>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</si>
  <si>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</si>
  <si>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</si>
  <si>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</si>
  <si>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</si>
  <si>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</si>
  <si>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</si>
  <si>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</si>
  <si>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</si>
  <si>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</si>
  <si>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</si>
  <si>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</si>
  <si>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</si>
  <si>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</si>
  <si>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</si>
  <si>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</si>
  <si>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</si>
  <si>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</si>
  <si>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</si>
  <si>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</si>
  <si>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</si>
  <si>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</si>
  <si>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</si>
  <si>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</si>
  <si>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</si>
  <si>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</si>
  <si>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</si>
  <si>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</si>
  <si>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</si>
  <si>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</si>
  <si>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</si>
  <si>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</si>
  <si>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</si>
  <si>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</si>
  <si>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</si>
  <si>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</si>
  <si>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</si>
  <si>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</si>
  <si>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</si>
  <si>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</si>
  <si>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</si>
  <si>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</si>
  <si>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</si>
  <si>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</si>
  <si>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</si>
  <si>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</si>
  <si>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</si>
  <si>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</si>
  <si>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</si>
  <si>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</si>
  <si>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</si>
  <si>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</si>
  <si>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</si>
  <si>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</si>
  <si>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</si>
  <si>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</si>
  <si>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</si>
  <si>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</si>
  <si>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</si>
  <si>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</si>
  <si>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</si>
  <si>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</si>
  <si>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</si>
  <si>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</si>
  <si>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</si>
  <si>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</si>
  <si>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</si>
  <si>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</si>
  <si>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</si>
  <si>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</si>
  <si>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</si>
  <si>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</si>
  <si>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</si>
  <si>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</si>
  <si>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</si>
  <si>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</si>
  <si>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</si>
  <si>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</si>
  <si>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</si>
  <si>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</si>
  <si>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</si>
  <si>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</si>
  <si>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</si>
  <si>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</si>
  <si>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</si>
  <si>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</si>
  <si>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</si>
  <si>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</si>
  <si>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</si>
  <si>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</si>
  <si>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</si>
  <si>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</si>
  <si>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</si>
  <si>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</si>
  <si>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</si>
  <si>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</si>
  <si>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</si>
  <si>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</si>
  <si>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</si>
  <si>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</si>
  <si>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</si>
  <si>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</si>
  <si>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</si>
  <si>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</si>
  <si>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</si>
  <si>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</si>
  <si>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</si>
  <si>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</si>
  <si>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</si>
  <si>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</si>
  <si>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</si>
  <si>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</si>
  <si>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</si>
  <si>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</si>
  <si>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</si>
  <si>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</si>
  <si>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</si>
  <si>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</si>
  <si>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</si>
  <si>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</si>
  <si>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</si>
  <si>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</si>
  <si>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</si>
  <si>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</si>
  <si>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</si>
  <si>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</si>
  <si>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</si>
  <si>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</si>
  <si>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</si>
  <si>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</si>
  <si>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</si>
  <si>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</si>
  <si>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</si>
  <si>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</si>
  <si>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</si>
  <si>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</si>
  <si>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</si>
  <si>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</si>
  <si>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</si>
  <si>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</si>
  <si>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</si>
  <si>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</si>
  <si>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</si>
  <si>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</si>
  <si>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</si>
  <si>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</si>
  <si>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</si>
  <si>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</si>
  <si>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</si>
  <si>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</si>
  <si>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</si>
  <si>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</si>
  <si>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</si>
  <si>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</si>
  <si>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</si>
  <si>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</si>
  <si>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</si>
  <si>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</si>
  <si>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</si>
  <si>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</si>
  <si>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</si>
  <si>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</si>
  <si>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</si>
  <si>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</si>
  <si>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</si>
  <si>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</si>
  <si>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</si>
  <si>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</si>
  <si>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</si>
  <si>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</si>
  <si>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</si>
  <si>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</si>
  <si>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</si>
  <si>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</si>
  <si>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</si>
  <si>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</si>
  <si>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</si>
  <si>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</si>
  <si>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</si>
  <si>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</si>
  <si>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</si>
  <si>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</si>
  <si>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</si>
  <si>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</si>
  <si>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</si>
  <si>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</si>
  <si>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</si>
  <si>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</si>
  <si>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</si>
  <si>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</si>
  <si>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</si>
  <si>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</si>
  <si>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</si>
  <si>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</si>
  <si>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</si>
  <si>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</si>
  <si>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</si>
  <si>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</si>
  <si>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</si>
  <si>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</si>
  <si>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</si>
  <si>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</si>
  <si>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</si>
  <si>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</si>
  <si>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</si>
  <si>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</si>
  <si>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</si>
  <si>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</si>
  <si>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</si>
  <si>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</si>
  <si>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</si>
  <si>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</si>
  <si>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</si>
  <si>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</si>
  <si>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</si>
  <si>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</si>
  <si>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</si>
  <si>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</si>
  <si>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</si>
  <si>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</si>
  <si>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</si>
  <si>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</si>
  <si>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</si>
  <si>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</si>
  <si>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</si>
  <si>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</si>
  <si>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</si>
  <si>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</si>
  <si>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</si>
  <si>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</si>
  <si>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</si>
  <si>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</si>
  <si>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</si>
  <si>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</si>
  <si>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</si>
  <si>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</si>
  <si>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</si>
  <si>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</si>
  <si>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</si>
  <si>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</si>
  <si>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</si>
  <si>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</si>
  <si>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</si>
  <si>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</si>
  <si>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</si>
  <si>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</si>
  <si>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</si>
  <si>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</si>
  <si>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</si>
  <si>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</si>
  <si>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</si>
  <si>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</si>
  <si>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</si>
  <si>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</si>
  <si>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</si>
  <si>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</si>
  <si>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</si>
  <si>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</si>
  <si>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</si>
  <si>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</si>
  <si>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</si>
  <si>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</si>
  <si>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</si>
  <si>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</si>
  <si>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</si>
  <si>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</si>
  <si>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</si>
  <si>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</si>
  <si>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</si>
  <si>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</si>
  <si>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</si>
  <si>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</si>
  <si>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</si>
  <si>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</si>
  <si>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</si>
  <si>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</si>
  <si>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</si>
  <si>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</si>
  <si>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</si>
  <si>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</si>
  <si>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</si>
  <si>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</si>
  <si>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</si>
  <si>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</si>
  <si>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</si>
  <si>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</si>
  <si>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</si>
  <si>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</si>
  <si>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</si>
  <si>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</si>
  <si>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</si>
  <si>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</si>
  <si>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</si>
  <si>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</si>
  <si>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</si>
  <si>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</si>
  <si>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</si>
  <si>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</si>
  <si>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</si>
  <si>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</si>
  <si>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</si>
  <si>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</si>
  <si>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</si>
  <si>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</si>
  <si>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</si>
  <si>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</si>
  <si>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</si>
  <si>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</si>
  <si>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</si>
  <si>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</si>
  <si>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</si>
  <si>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</si>
  <si>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</si>
  <si>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</si>
  <si>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</si>
  <si>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</si>
  <si>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</si>
  <si>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</si>
  <si>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</si>
  <si>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</si>
  <si>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</si>
  <si>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</si>
  <si>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</si>
  <si>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</si>
  <si>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</si>
  <si>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</si>
  <si>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</si>
  <si>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</si>
  <si>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</si>
  <si>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</si>
  <si>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</si>
  <si>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</si>
  <si>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</si>
  <si>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</si>
  <si>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</si>
  <si>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</si>
  <si>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</si>
  <si>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</si>
  <si>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</si>
  <si>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</si>
  <si>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</si>
  <si>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</si>
  <si>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</si>
  <si>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</si>
  <si>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</si>
  <si>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</si>
  <si>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</si>
  <si>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</si>
  <si>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</si>
  <si>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</si>
  <si>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</si>
  <si>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</si>
  <si>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</si>
  <si>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</si>
  <si>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</si>
  <si>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</si>
  <si>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</si>
  <si>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</si>
  <si>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</si>
  <si>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</si>
  <si>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</si>
  <si>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</si>
  <si>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</si>
  <si>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</si>
  <si>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</si>
  <si>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</si>
  <si>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</si>
  <si>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</si>
  <si>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</si>
  <si>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</si>
  <si>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</si>
  <si>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</si>
  <si>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</si>
  <si>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</si>
  <si>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</si>
  <si>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</si>
  <si>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</si>
  <si>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</si>
  <si>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</si>
  <si>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</si>
  <si>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</si>
  <si>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</si>
  <si>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</si>
  <si>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</si>
  <si>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</si>
  <si>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</si>
  <si>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</si>
  <si>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</si>
  <si>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</si>
  <si>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</si>
  <si>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</si>
  <si>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</si>
  <si>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</si>
  <si>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</si>
  <si>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</si>
  <si>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</si>
  <si>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</si>
  <si>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</si>
  <si>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</si>
  <si>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</si>
  <si>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</si>
  <si>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</si>
  <si>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</si>
  <si>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</si>
  <si>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</si>
  <si>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</si>
  <si>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</si>
  <si>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</si>
  <si>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</si>
  <si>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</si>
  <si>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</si>
  <si>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</si>
  <si>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</si>
  <si>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</si>
  <si>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</si>
  <si>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</si>
  <si>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</si>
  <si>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</si>
  <si>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</si>
  <si>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</si>
  <si>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</si>
  <si>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</si>
  <si>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</si>
  <si>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</si>
  <si>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</si>
  <si>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</si>
  <si>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</si>
  <si>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</si>
  <si>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</si>
  <si>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</si>
  <si>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</si>
  <si>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</si>
  <si>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</si>
  <si>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</si>
  <si>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</si>
  <si>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</si>
  <si>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</si>
  <si>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</si>
  <si>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</si>
  <si>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</si>
  <si>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</si>
  <si>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</si>
  <si>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</si>
  <si>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</si>
  <si>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</si>
  <si>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</si>
  <si>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</si>
  <si>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</si>
  <si>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</si>
  <si>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</si>
  <si>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</si>
  <si>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</si>
  <si>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</si>
  <si>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</si>
  <si>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</si>
  <si>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</si>
  <si>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</si>
  <si>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</si>
  <si>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</si>
  <si>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</si>
  <si>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</si>
  <si>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</si>
  <si>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</si>
  <si>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</si>
  <si>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</si>
  <si>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</si>
  <si>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</si>
  <si>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</si>
  <si>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</si>
  <si>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</si>
  <si>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</si>
  <si>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</si>
  <si>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</si>
  <si>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</si>
  <si>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</si>
  <si>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</si>
  <si>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</si>
  <si>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</si>
  <si>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</si>
  <si>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</si>
  <si>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</si>
  <si>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</si>
  <si>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</si>
  <si>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</si>
  <si>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</si>
  <si>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</si>
  <si>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</si>
  <si>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</si>
  <si>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</si>
  <si>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</si>
  <si>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</si>
  <si>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</si>
  <si>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</si>
  <si>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</si>
  <si>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</si>
  <si>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</si>
  <si>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</si>
  <si>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</si>
  <si>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</si>
  <si>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</si>
  <si>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</si>
  <si>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</si>
  <si>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</si>
  <si>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</si>
  <si>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</si>
  <si>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</si>
  <si>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</si>
  <si>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</si>
  <si>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</si>
  <si>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</si>
  <si>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</si>
  <si>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</si>
  <si>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</si>
  <si>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</si>
  <si>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</si>
  <si>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</si>
  <si>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</si>
  <si>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</si>
  <si>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</si>
  <si>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</si>
  <si>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</si>
  <si>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</si>
  <si>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</si>
  <si>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</si>
  <si>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</si>
  <si>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</si>
  <si>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</si>
  <si>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</si>
  <si>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</si>
  <si>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</si>
  <si>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</si>
  <si>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</si>
  <si>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</si>
  <si>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</si>
  <si>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</si>
  <si>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</si>
  <si>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</si>
  <si>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</si>
  <si>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</si>
  <si>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</si>
  <si>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</si>
  <si>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</si>
  <si>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</si>
  <si>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</si>
  <si>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</si>
  <si>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</si>
  <si>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</si>
  <si>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</si>
  <si>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</si>
  <si>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</si>
  <si>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</si>
  <si>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</si>
  <si>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</si>
  <si>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</si>
  <si>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</si>
  <si>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</si>
  <si>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</si>
  <si>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</si>
  <si>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</si>
  <si>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</si>
  <si>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</si>
  <si>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</si>
  <si>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</si>
  <si>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</si>
  <si>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</si>
  <si>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</si>
  <si>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</si>
  <si>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</si>
  <si>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</si>
  <si>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</si>
  <si>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</si>
  <si>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</si>
  <si>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</si>
  <si>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</si>
  <si>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</si>
  <si>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</si>
  <si>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</si>
  <si>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</si>
  <si>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</si>
  <si>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</si>
  <si>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</si>
  <si>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</si>
  <si>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</si>
  <si>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</si>
  <si>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</si>
  <si>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</si>
  <si>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</si>
  <si>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</si>
  <si>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</si>
  <si>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</si>
  <si>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</si>
  <si>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</si>
  <si>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</si>
  <si>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</si>
  <si>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</si>
  <si>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</si>
  <si>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</si>
  <si>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</si>
  <si>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</si>
  <si>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</si>
  <si>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</si>
  <si>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</si>
  <si>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</si>
  <si>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</si>
  <si>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</si>
  <si>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</si>
  <si>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</si>
  <si>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</si>
  <si>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</si>
  <si>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</si>
  <si>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</si>
  <si>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</si>
  <si>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</si>
  <si>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</si>
  <si>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</si>
  <si>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</si>
  <si>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</si>
  <si>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</si>
  <si>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</si>
  <si>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</si>
  <si>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</si>
  <si>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</si>
  <si>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</si>
  <si>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</si>
  <si>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</si>
  <si>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</si>
  <si>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</si>
  <si>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</si>
  <si>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</si>
  <si>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</si>
  <si>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</si>
  <si>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</si>
  <si>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</si>
  <si>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</si>
  <si>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</si>
  <si>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</si>
  <si>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</si>
  <si>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</si>
  <si>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</si>
  <si>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</si>
  <si>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</si>
  <si>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</si>
  <si>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</si>
  <si>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</si>
  <si>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</si>
  <si>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</si>
  <si>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</si>
  <si>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</si>
  <si>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</si>
  <si>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</si>
  <si>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</si>
  <si>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</si>
  <si>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</si>
  <si>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</si>
  <si>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</si>
  <si>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</si>
  <si>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</si>
  <si>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</si>
  <si>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</si>
  <si>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</si>
  <si>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</si>
  <si>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</si>
  <si>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</si>
  <si>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</si>
  <si>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</si>
  <si>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</si>
  <si>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</si>
  <si>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</si>
  <si>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</si>
  <si>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</si>
  <si>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</si>
  <si>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</si>
  <si>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</si>
  <si>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</si>
  <si>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</si>
  <si>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</si>
  <si>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</si>
  <si>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</si>
  <si>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</si>
  <si>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</si>
  <si>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</si>
  <si>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</si>
  <si>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</si>
  <si>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</si>
  <si>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</si>
  <si>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</si>
  <si>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</si>
  <si>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</si>
  <si>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</si>
  <si>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</si>
  <si>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</si>
  <si>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</si>
  <si>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</si>
  <si>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</si>
  <si>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</si>
  <si>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</si>
  <si>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</si>
  <si>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</si>
  <si>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</si>
  <si>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</si>
  <si>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</si>
  <si>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</si>
  <si>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</si>
  <si>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</si>
  <si>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</si>
  <si>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</si>
  <si>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</si>
  <si>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</si>
  <si>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</si>
  <si>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</si>
  <si>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</si>
  <si>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</si>
  <si>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</si>
  <si>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</si>
  <si>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</si>
  <si>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</si>
  <si>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</si>
  <si>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</si>
  <si>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</si>
  <si>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</si>
  <si>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</si>
  <si>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</si>
  <si>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</si>
  <si>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</si>
  <si>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</si>
  <si>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</si>
  <si>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</si>
  <si>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</si>
  <si>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</si>
  <si>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</si>
  <si>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</si>
  <si>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</si>
  <si>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</si>
  <si>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</si>
  <si>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</si>
  <si>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</si>
  <si>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</si>
  <si>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</si>
  <si>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</si>
  <si>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</si>
  <si>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</si>
  <si>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</si>
  <si>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</si>
  <si>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</si>
  <si>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</si>
  <si>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</si>
  <si>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</si>
  <si>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</si>
  <si>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</si>
  <si>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</si>
  <si>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</si>
  <si>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</si>
  <si>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</si>
  <si>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</si>
  <si>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</si>
  <si>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</si>
  <si>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</si>
  <si>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</si>
  <si>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</si>
  <si>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</si>
  <si>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</si>
  <si>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</si>
  <si>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</si>
  <si>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</si>
  <si>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</si>
  <si>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</si>
  <si>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</si>
  <si>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</si>
  <si>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</si>
  <si>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</si>
  <si>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</si>
  <si>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</si>
  <si>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</si>
  <si>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</si>
  <si>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</si>
  <si>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</si>
  <si>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</si>
  <si>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</si>
  <si>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</si>
  <si>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</si>
  <si>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</si>
  <si>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</si>
  <si>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</si>
  <si>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</si>
  <si>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</si>
  <si>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</si>
  <si>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</si>
  <si>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</si>
  <si>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</si>
  <si>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</si>
  <si>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</si>
  <si>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</si>
  <si>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</si>
  <si>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</si>
  <si>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</si>
  <si>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</si>
  <si>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</si>
  <si>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</si>
  <si>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</si>
  <si>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</si>
  <si>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</si>
  <si>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</si>
  <si>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</si>
  <si>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</si>
  <si>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</si>
  <si>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</si>
  <si>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</si>
  <si>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</si>
  <si>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</si>
  <si>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</si>
  <si>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</si>
  <si>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</si>
  <si>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</si>
  <si>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</si>
  <si>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</si>
  <si>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</si>
  <si>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</si>
  <si>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</si>
  <si>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</si>
  <si>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</si>
  <si>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</si>
  <si>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</si>
  <si>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</si>
  <si>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</si>
  <si>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</si>
  <si>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</si>
  <si>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</si>
  <si>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</si>
  <si>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</si>
  <si>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</si>
  <si>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</si>
  <si>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</si>
  <si>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</si>
  <si>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</si>
  <si>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</si>
  <si>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</si>
  <si>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</si>
  <si>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</si>
  <si>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</si>
  <si>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</si>
  <si>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</si>
  <si>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</si>
  <si>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</si>
  <si>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</si>
  <si>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</si>
  <si>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</si>
  <si>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</si>
  <si>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</si>
  <si>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</si>
  <si>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</si>
  <si>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</si>
  <si>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</si>
  <si>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</si>
  <si>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</si>
  <si>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</si>
  <si>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</si>
  <si>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</si>
  <si>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</si>
  <si>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</si>
  <si>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</si>
  <si>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</si>
  <si>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</si>
  <si>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</si>
  <si>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</si>
  <si>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</si>
  <si>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</si>
  <si>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</si>
  <si>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</si>
  <si>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</si>
  <si>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</si>
  <si>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</si>
  <si>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</si>
  <si>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</si>
  <si>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</si>
  <si>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</si>
  <si>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</si>
  <si>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</si>
  <si>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</si>
  <si>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</si>
  <si>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</si>
  <si>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</si>
  <si>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</si>
  <si>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</si>
  <si>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</si>
  <si>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</si>
  <si>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</si>
  <si>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</si>
  <si>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</si>
  <si>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</si>
  <si>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</si>
  <si>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</si>
  <si>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</si>
  <si>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</si>
  <si>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</si>
  <si>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</si>
  <si>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</si>
  <si>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</si>
  <si>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</si>
  <si>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</si>
  <si>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</si>
  <si>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</si>
  <si>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</si>
  <si>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</si>
  <si>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</si>
  <si>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</si>
  <si>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</si>
  <si>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</si>
  <si>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</si>
  <si>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</si>
  <si>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</si>
  <si>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</si>
  <si>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</si>
  <si>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</si>
  <si>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</si>
  <si>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</si>
  <si>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</si>
  <si>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</si>
  <si>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</si>
  <si>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</si>
  <si>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</si>
  <si>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</si>
  <si>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</si>
  <si>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</si>
  <si>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</si>
  <si>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</si>
  <si>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</si>
  <si>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</si>
  <si>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</si>
  <si>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</si>
  <si>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</si>
  <si>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</si>
  <si>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</si>
  <si>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</si>
  <si>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</si>
  <si>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</si>
  <si>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</si>
  <si>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</si>
  <si>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</si>
  <si>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</si>
  <si>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</si>
  <si>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</si>
  <si>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</si>
  <si>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</si>
  <si>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</si>
  <si>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</si>
  <si>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</si>
  <si>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</si>
  <si>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</si>
  <si>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</si>
  <si>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</si>
  <si>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</si>
  <si>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</si>
  <si>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</si>
  <si>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</si>
  <si>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</si>
  <si>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</si>
  <si>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</si>
  <si>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</si>
  <si>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</si>
  <si>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</si>
  <si>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</si>
  <si>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</si>
  <si>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</si>
  <si>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</si>
  <si>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</si>
  <si>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</si>
  <si>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</si>
  <si>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</si>
  <si>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</si>
  <si>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</si>
  <si>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</si>
  <si>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</si>
  <si>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</si>
  <si>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</si>
  <si>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</si>
  <si>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</si>
  <si>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</si>
  <si>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</si>
  <si>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</si>
  <si>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</si>
  <si>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</si>
  <si>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</si>
  <si>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</si>
  <si>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</si>
  <si>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</si>
  <si>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</si>
  <si>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</si>
  <si>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</si>
  <si>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</si>
  <si>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</si>
  <si>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</si>
  <si>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</si>
  <si>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</si>
  <si>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</si>
  <si>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</si>
  <si>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</si>
  <si>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</si>
  <si>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</si>
  <si>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</si>
  <si>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</si>
  <si>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</si>
  <si>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</si>
  <si>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</si>
  <si>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</si>
  <si>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</si>
  <si>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</si>
  <si>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</si>
  <si>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</si>
  <si>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</si>
  <si>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</si>
  <si>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</si>
  <si>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</si>
  <si>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</si>
  <si>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</si>
  <si>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</si>
  <si>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</si>
  <si>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</si>
  <si>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</si>
  <si>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</si>
  <si>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</si>
  <si>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</si>
  <si>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</si>
  <si>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</si>
  <si>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</si>
  <si>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</si>
  <si>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</si>
  <si>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</si>
  <si>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</si>
  <si>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</si>
  <si>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</si>
  <si>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</si>
  <si>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</si>
  <si>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</si>
  <si>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</si>
  <si>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</si>
  <si>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</si>
  <si>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</si>
  <si>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</si>
  <si>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</si>
  <si>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</si>
  <si>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Q4 2024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</si>
  <si>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</si>
  <si>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</si>
  <si>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</si>
  <si>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</si>
  <si>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</si>
  <si>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</si>
  <si>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</si>
  <si>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</si>
  <si>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</si>
  <si>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</si>
  <si>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</si>
  <si>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</si>
  <si>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 xml:space="preserve">Janvier </t>
  </si>
  <si>
    <t xml:space="preserve">  Réalisé 2025</t>
  </si>
  <si>
    <t xml:space="preserve">  Budget 2025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</si>
  <si>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</si>
  <si>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</si>
  <si>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</si>
  <si>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</si>
  <si>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</si>
  <si>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</si>
  <si>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</si>
  <si>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</si>
  <si>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</si>
  <si>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</si>
  <si>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</si>
  <si>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</si>
  <si>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</si>
  <si>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</si>
  <si>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</si>
  <si>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</si>
  <si>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</si>
  <si>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</si>
  <si>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</si>
  <si>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</si>
  <si>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</si>
  <si>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</si>
  <si>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</si>
  <si>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_</t>
  </si>
  <si>
    <t>X3 M50 XDRIVE</t>
  </si>
  <si>
    <t>409C</t>
  </si>
  <si>
    <t>609C</t>
  </si>
  <si>
    <t>675</t>
  </si>
  <si>
    <t>409C@</t>
  </si>
  <si>
    <t>Dépréciation démos ventes</t>
  </si>
  <si>
    <t>VTES -VTE - ASS VIE/INV USAGE BMW NON-CERT</t>
  </si>
  <si>
    <t>454V</t>
  </si>
  <si>
    <t>C/V - ASS VIE/INV USAGE BMW NON-CERT</t>
  </si>
  <si>
    <t>654V</t>
  </si>
  <si>
    <t>Farrah 30% + vendeur à 4 ou 5 %</t>
  </si>
  <si>
    <t>Farrah a 23%, vendeur moyenne de 2.8%</t>
  </si>
  <si>
    <t>Réparation portes de garages lavages</t>
  </si>
  <si>
    <t>Carfax</t>
  </si>
  <si>
    <t>Bonis</t>
  </si>
  <si>
    <t>-3.4k laveurs + 2.6k rep portes baies lavage</t>
  </si>
  <si>
    <t>-3.4K Quik Wash</t>
  </si>
  <si>
    <t>Produits lavages</t>
  </si>
  <si>
    <t>Joliquer ?</t>
  </si>
  <si>
    <t>reparation lift alignement, lift, compresseur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</si>
</sst>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5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4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1">
    <xf numFmtId="0" fontId="0" fillId="0" borderId="0"/>
    <xf numFmtId="9" fontId="98" fillId="0" borderId="0" applyFont="0" applyFill="0" applyBorder="0" applyAlignment="0" applyProtection="0"/>
    <xf numFmtId="0" fontId="61" fillId="0" borderId="1"/>
    <xf numFmtId="0" fontId="60" fillId="0" borderId="1"/>
    <xf numFmtId="9" fontId="60" fillId="0" borderId="1" applyFont="0" applyFill="0" applyBorder="0" applyAlignment="0" applyProtection="0"/>
    <xf numFmtId="0" fontId="59" fillId="0" borderId="1"/>
    <xf numFmtId="0" fontId="58" fillId="0" borderId="1"/>
    <xf numFmtId="0" fontId="57" fillId="0" borderId="1"/>
    <xf numFmtId="0" fontId="56" fillId="0" borderId="1"/>
    <xf numFmtId="0" fontId="55" fillId="0" borderId="1"/>
    <xf numFmtId="0" fontId="98" fillId="0" borderId="1"/>
    <xf numFmtId="0" fontId="53" fillId="0" borderId="1"/>
    <xf numFmtId="0" fontId="52" fillId="0" borderId="1"/>
    <xf numFmtId="0" fontId="51" fillId="0" borderId="1"/>
    <xf numFmtId="0" fontId="48" fillId="0" borderId="1"/>
    <xf numFmtId="0" fontId="47" fillId="0" borderId="1"/>
    <xf numFmtId="9" fontId="98" fillId="0" borderId="1" applyFont="0" applyFill="0" applyBorder="0" applyAlignment="0" applyProtection="0"/>
    <xf numFmtId="0" fontId="47" fillId="0" borderId="1"/>
    <xf numFmtId="9" fontId="47" fillId="0" borderId="1" applyFont="0" applyFill="0" applyBorder="0" applyAlignment="0" applyProtection="0"/>
    <xf numFmtId="0" fontId="133" fillId="0" borderId="1"/>
    <xf numFmtId="0" fontId="134" fillId="0" borderId="1"/>
    <xf numFmtId="0" fontId="46" fillId="0" borderId="1"/>
    <xf numFmtId="0" fontId="45" fillId="0" borderId="1"/>
    <xf numFmtId="0" fontId="44" fillId="0" borderId="1"/>
    <xf numFmtId="0" fontId="44" fillId="0" borderId="1"/>
    <xf numFmtId="9" fontId="44" fillId="0" borderId="1" applyFont="0" applyFill="0" applyBorder="0" applyAlignment="0" applyProtection="0"/>
    <xf numFmtId="0" fontId="44" fillId="0" borderId="1"/>
    <xf numFmtId="0" fontId="42" fillId="0" borderId="1"/>
    <xf numFmtId="0" fontId="40" fillId="0" borderId="1"/>
    <xf numFmtId="0" fontId="40" fillId="0" borderId="1"/>
    <xf numFmtId="9" fontId="40" fillId="0" borderId="1" applyFont="0" applyFill="0" applyBorder="0" applyAlignment="0" applyProtection="0"/>
    <xf numFmtId="0" fontId="40" fillId="0" borderId="1"/>
    <xf numFmtId="0" fontId="39" fillId="0" borderId="1"/>
    <xf numFmtId="0" fontId="37" fillId="0" borderId="1"/>
    <xf numFmtId="0" fontId="37" fillId="0" borderId="1"/>
    <xf numFmtId="9" fontId="37" fillId="0" borderId="1" applyFont="0" applyFill="0" applyBorder="0" applyAlignment="0" applyProtection="0"/>
    <xf numFmtId="0" fontId="37" fillId="0" borderId="1"/>
    <xf numFmtId="0" fontId="36" fillId="0" borderId="1"/>
    <xf numFmtId="0" fontId="36" fillId="0" borderId="1"/>
    <xf numFmtId="9" fontId="36" fillId="0" borderId="1" applyFont="0" applyFill="0" applyBorder="0" applyAlignment="0" applyProtection="0"/>
    <xf numFmtId="0" fontId="36" fillId="0" borderId="1"/>
    <xf numFmtId="0" fontId="35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0" fontId="34" fillId="0" borderId="1"/>
    <xf numFmtId="0" fontId="33" fillId="0" borderId="1"/>
    <xf numFmtId="0" fontId="33" fillId="0" borderId="1"/>
    <xf numFmtId="9" fontId="33" fillId="0" borderId="1" applyFont="0" applyFill="0" applyBorder="0" applyAlignment="0" applyProtection="0"/>
    <xf numFmtId="0" fontId="33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0" fillId="0" borderId="1"/>
    <xf numFmtId="0" fontId="28" fillId="0" borderId="1"/>
    <xf numFmtId="0" fontId="28" fillId="0" borderId="1"/>
    <xf numFmtId="9" fontId="28" fillId="0" borderId="1" applyFont="0" applyFill="0" applyBorder="0" applyAlignment="0" applyProtection="0"/>
    <xf numFmtId="164" fontId="28" fillId="0" borderId="1" applyFont="0" applyFill="0" applyBorder="0" applyAlignment="0" applyProtection="0"/>
    <xf numFmtId="0" fontId="27" fillId="0" borderId="1"/>
    <xf numFmtId="0" fontId="26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44" fontId="148" fillId="0" borderId="0" applyFont="0" applyFill="0" applyBorder="0" applyAlignment="0" applyProtection="0"/>
    <xf numFmtId="0" fontId="111" fillId="0" borderId="1"/>
    <xf numFmtId="0" fontId="11" fillId="0" borderId="1"/>
    <xf numFmtId="0" fontId="9" fillId="0" borderId="1"/>
    <xf numFmtId="0" fontId="8" fillId="0" borderId="1"/>
    <xf numFmtId="0" fontId="7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258">
    <xf numFmtId="0" fontId="0" fillId="0" borderId="0" xfId="0"/>
    <xf numFmtId="0" fontId="62" fillId="0" borderId="0" xfId="0" applyFont="1"/>
    <xf numFmtId="0" fontId="63" fillId="0" borderId="0" xfId="0" applyFont="1"/>
    <xf numFmtId="0" fontId="63" fillId="2" borderId="1" xfId="0" applyFont="1" applyFill="1" applyBorder="1" applyAlignment="1">
      <alignment horizontal="center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right"/>
    </xf>
    <xf numFmtId="0" fontId="64" fillId="0" borderId="0" xfId="0" applyFont="1"/>
    <xf numFmtId="0" fontId="66" fillId="0" borderId="2" xfId="0" applyFont="1" applyBorder="1"/>
    <xf numFmtId="0" fontId="68" fillId="0" borderId="4" xfId="0" applyFont="1" applyBorder="1"/>
    <xf numFmtId="0" fontId="66" fillId="0" borderId="6" xfId="0" applyFont="1" applyBorder="1"/>
    <xf numFmtId="0" fontId="68" fillId="0" borderId="6" xfId="0" applyFont="1" applyBorder="1"/>
    <xf numFmtId="0" fontId="68" fillId="3" borderId="8" xfId="0" applyFont="1" applyFill="1" applyBorder="1"/>
    <xf numFmtId="0" fontId="68" fillId="3" borderId="10" xfId="0" applyFont="1" applyFill="1" applyBorder="1"/>
    <xf numFmtId="0" fontId="67" fillId="0" borderId="6" xfId="0" applyFont="1" applyBorder="1"/>
    <xf numFmtId="168" fontId="63" fillId="0" borderId="0" xfId="0" applyNumberFormat="1" applyFont="1"/>
    <xf numFmtId="0" fontId="63" fillId="0" borderId="6" xfId="0" applyFont="1" applyBorder="1"/>
    <xf numFmtId="169" fontId="63" fillId="0" borderId="0" xfId="0" applyNumberFormat="1" applyFont="1"/>
    <xf numFmtId="0" fontId="65" fillId="0" borderId="0" xfId="0" applyFont="1"/>
    <xf numFmtId="0" fontId="70" fillId="0" borderId="0" xfId="0" applyFont="1" applyAlignment="1">
      <alignment horizontal="center" vertical="center"/>
    </xf>
    <xf numFmtId="3" fontId="65" fillId="0" borderId="0" xfId="0" applyNumberFormat="1" applyFont="1"/>
    <xf numFmtId="0" fontId="70" fillId="0" borderId="0" xfId="0" applyFont="1"/>
    <xf numFmtId="170" fontId="71" fillId="0" borderId="0" xfId="0" applyNumberFormat="1" applyFont="1" applyAlignment="1">
      <alignment horizontal="left"/>
    </xf>
    <xf numFmtId="0" fontId="71" fillId="0" borderId="0" xfId="0" applyFont="1"/>
    <xf numFmtId="0" fontId="72" fillId="0" borderId="0" xfId="0" applyFont="1"/>
    <xf numFmtId="0" fontId="73" fillId="0" borderId="0" xfId="0" applyFont="1"/>
    <xf numFmtId="37" fontId="74" fillId="3" borderId="14" xfId="0" applyNumberFormat="1" applyFont="1" applyFill="1" applyBorder="1"/>
    <xf numFmtId="3" fontId="74" fillId="3" borderId="14" xfId="0" applyNumberFormat="1" applyFont="1" applyFill="1" applyBorder="1"/>
    <xf numFmtId="37" fontId="74" fillId="3" borderId="9" xfId="0" applyNumberFormat="1" applyFont="1" applyFill="1" applyBorder="1"/>
    <xf numFmtId="37" fontId="74" fillId="3" borderId="8" xfId="0" applyNumberFormat="1" applyFont="1" applyFill="1" applyBorder="1"/>
    <xf numFmtId="172" fontId="74" fillId="3" borderId="14" xfId="0" applyNumberFormat="1" applyFont="1" applyFill="1" applyBorder="1"/>
    <xf numFmtId="0" fontId="74" fillId="3" borderId="10" xfId="0" applyFont="1" applyFill="1" applyBorder="1"/>
    <xf numFmtId="0" fontId="74" fillId="3" borderId="11" xfId="0" applyFont="1" applyFill="1" applyBorder="1"/>
    <xf numFmtId="171" fontId="74" fillId="3" borderId="10" xfId="0" applyNumberFormat="1" applyFont="1" applyFill="1" applyBorder="1"/>
    <xf numFmtId="171" fontId="74" fillId="3" borderId="11" xfId="0" applyNumberFormat="1" applyFont="1" applyFill="1" applyBorder="1"/>
    <xf numFmtId="0" fontId="74" fillId="4" borderId="1" xfId="0" applyFont="1" applyFill="1" applyBorder="1"/>
    <xf numFmtId="0" fontId="73" fillId="0" borderId="0" xfId="0" applyFont="1" applyAlignment="1">
      <alignment horizontal="right"/>
    </xf>
    <xf numFmtId="37" fontId="73" fillId="0" borderId="0" xfId="0" applyNumberFormat="1" applyFont="1"/>
    <xf numFmtId="0" fontId="74" fillId="3" borderId="16" xfId="0" applyFont="1" applyFill="1" applyBorder="1"/>
    <xf numFmtId="0" fontId="74" fillId="3" borderId="17" xfId="0" applyFont="1" applyFill="1" applyBorder="1" applyAlignment="1">
      <alignment horizontal="center"/>
    </xf>
    <xf numFmtId="171" fontId="74" fillId="3" borderId="17" xfId="0" applyNumberFormat="1" applyFont="1" applyFill="1" applyBorder="1"/>
    <xf numFmtId="37" fontId="74" fillId="3" borderId="18" xfId="0" applyNumberFormat="1" applyFont="1" applyFill="1" applyBorder="1"/>
    <xf numFmtId="0" fontId="74" fillId="3" borderId="16" xfId="0" applyFont="1" applyFill="1" applyBorder="1" applyAlignment="1">
      <alignment horizontal="center"/>
    </xf>
    <xf numFmtId="0" fontId="73" fillId="3" borderId="13" xfId="0" applyFont="1" applyFill="1" applyBorder="1"/>
    <xf numFmtId="0" fontId="73" fillId="3" borderId="16" xfId="0" applyFont="1" applyFill="1" applyBorder="1"/>
    <xf numFmtId="37" fontId="74" fillId="0" borderId="0" xfId="0" applyNumberFormat="1" applyFont="1"/>
    <xf numFmtId="37" fontId="74" fillId="3" borderId="19" xfId="0" applyNumberFormat="1" applyFont="1" applyFill="1" applyBorder="1"/>
    <xf numFmtId="0" fontId="73" fillId="4" borderId="1" xfId="0" applyFont="1" applyFill="1" applyBorder="1"/>
    <xf numFmtId="37" fontId="74" fillId="4" borderId="15" xfId="0" applyNumberFormat="1" applyFont="1" applyFill="1" applyBorder="1"/>
    <xf numFmtId="0" fontId="73" fillId="4" borderId="12" xfId="0" applyFont="1" applyFill="1" applyBorder="1"/>
    <xf numFmtId="0" fontId="73" fillId="4" borderId="13" xfId="0" applyFont="1" applyFill="1" applyBorder="1"/>
    <xf numFmtId="0" fontId="73" fillId="4" borderId="22" xfId="0" applyFont="1" applyFill="1" applyBorder="1"/>
    <xf numFmtId="37" fontId="74" fillId="4" borderId="19" xfId="0" applyNumberFormat="1" applyFont="1" applyFill="1" applyBorder="1"/>
    <xf numFmtId="0" fontId="77" fillId="0" borderId="0" xfId="0" applyFont="1"/>
    <xf numFmtId="0" fontId="78" fillId="0" borderId="0" xfId="0" applyFont="1"/>
    <xf numFmtId="37" fontId="78" fillId="0" borderId="0" xfId="0" applyNumberFormat="1" applyFont="1"/>
    <xf numFmtId="0" fontId="74" fillId="0" borderId="0" xfId="0" applyFont="1"/>
    <xf numFmtId="37" fontId="71" fillId="0" borderId="0" xfId="0" applyNumberFormat="1" applyFont="1"/>
    <xf numFmtId="37" fontId="74" fillId="4" borderId="14" xfId="0" applyNumberFormat="1" applyFont="1" applyFill="1" applyBorder="1"/>
    <xf numFmtId="37" fontId="74" fillId="4" borderId="9" xfId="0" applyNumberFormat="1" applyFont="1" applyFill="1" applyBorder="1"/>
    <xf numFmtId="37" fontId="74" fillId="4" borderId="8" xfId="0" applyNumberFormat="1" applyFont="1" applyFill="1" applyBorder="1"/>
    <xf numFmtId="171" fontId="74" fillId="4" borderId="8" xfId="0" applyNumberFormat="1" applyFont="1" applyFill="1" applyBorder="1"/>
    <xf numFmtId="37" fontId="74" fillId="4" borderId="22" xfId="0" applyNumberFormat="1" applyFont="1" applyFill="1" applyBorder="1"/>
    <xf numFmtId="171" fontId="74" fillId="4" borderId="19" xfId="0" applyNumberFormat="1" applyFont="1" applyFill="1" applyBorder="1"/>
    <xf numFmtId="37" fontId="74" fillId="4" borderId="13" xfId="0" applyNumberFormat="1" applyFont="1" applyFill="1" applyBorder="1"/>
    <xf numFmtId="39" fontId="74" fillId="4" borderId="22" xfId="0" applyNumberFormat="1" applyFont="1" applyFill="1" applyBorder="1"/>
    <xf numFmtId="37" fontId="74" fillId="4" borderId="24" xfId="0" applyNumberFormat="1" applyFont="1" applyFill="1" applyBorder="1"/>
    <xf numFmtId="172" fontId="74" fillId="4" borderId="24" xfId="0" applyNumberFormat="1" applyFont="1" applyFill="1" applyBorder="1"/>
    <xf numFmtId="37" fontId="74" fillId="4" borderId="25" xfId="0" applyNumberFormat="1" applyFont="1" applyFill="1" applyBorder="1"/>
    <xf numFmtId="37" fontId="74" fillId="4" borderId="23" xfId="0" applyNumberFormat="1" applyFont="1" applyFill="1" applyBorder="1"/>
    <xf numFmtId="171" fontId="74" fillId="3" borderId="8" xfId="0" applyNumberFormat="1" applyFont="1" applyFill="1" applyBorder="1"/>
    <xf numFmtId="171" fontId="74" fillId="3" borderId="14" xfId="0" applyNumberFormat="1" applyFont="1" applyFill="1" applyBorder="1"/>
    <xf numFmtId="171" fontId="74" fillId="3" borderId="26" xfId="0" applyNumberFormat="1" applyFont="1" applyFill="1" applyBorder="1"/>
    <xf numFmtId="37" fontId="74" fillId="3" borderId="27" xfId="0" applyNumberFormat="1" applyFont="1" applyFill="1" applyBorder="1"/>
    <xf numFmtId="37" fontId="74" fillId="3" borderId="29" xfId="0" applyNumberFormat="1" applyFont="1" applyFill="1" applyBorder="1"/>
    <xf numFmtId="172" fontId="74" fillId="3" borderId="29" xfId="0" applyNumberFormat="1" applyFont="1" applyFill="1" applyBorder="1"/>
    <xf numFmtId="37" fontId="74" fillId="3" borderId="30" xfId="0" applyNumberFormat="1" applyFont="1" applyFill="1" applyBorder="1"/>
    <xf numFmtId="37" fontId="74" fillId="3" borderId="28" xfId="0" applyNumberFormat="1" applyFont="1" applyFill="1" applyBorder="1"/>
    <xf numFmtId="0" fontId="73" fillId="3" borderId="10" xfId="0" applyFont="1" applyFill="1" applyBorder="1"/>
    <xf numFmtId="0" fontId="81" fillId="0" borderId="0" xfId="0" applyFont="1"/>
    <xf numFmtId="0" fontId="70" fillId="0" borderId="0" xfId="0" applyFont="1" applyAlignment="1">
      <alignment horizontal="right" vertical="center"/>
    </xf>
    <xf numFmtId="0" fontId="82" fillId="3" borderId="22" xfId="0" applyFont="1" applyFill="1" applyBorder="1"/>
    <xf numFmtId="37" fontId="82" fillId="3" borderId="32" xfId="0" applyNumberFormat="1" applyFont="1" applyFill="1" applyBorder="1"/>
    <xf numFmtId="37" fontId="82" fillId="3" borderId="33" xfId="0" applyNumberFormat="1" applyFont="1" applyFill="1" applyBorder="1"/>
    <xf numFmtId="37" fontId="82" fillId="3" borderId="22" xfId="0" applyNumberFormat="1" applyFont="1" applyFill="1" applyBorder="1"/>
    <xf numFmtId="171" fontId="82" fillId="3" borderId="22" xfId="0" applyNumberFormat="1" applyFont="1" applyFill="1" applyBorder="1"/>
    <xf numFmtId="37" fontId="82" fillId="3" borderId="34" xfId="0" applyNumberFormat="1" applyFont="1" applyFill="1" applyBorder="1"/>
    <xf numFmtId="37" fontId="76" fillId="0" borderId="35" xfId="0" applyNumberFormat="1" applyFont="1" applyBorder="1"/>
    <xf numFmtId="0" fontId="82" fillId="3" borderId="17" xfId="0" applyFont="1" applyFill="1" applyBorder="1"/>
    <xf numFmtId="171" fontId="82" fillId="3" borderId="17" xfId="0" applyNumberFormat="1" applyFont="1" applyFill="1" applyBorder="1"/>
    <xf numFmtId="37" fontId="82" fillId="3" borderId="21" xfId="0" applyNumberFormat="1" applyFont="1" applyFill="1" applyBorder="1"/>
    <xf numFmtId="171" fontId="82" fillId="3" borderId="20" xfId="0" applyNumberFormat="1" applyFont="1" applyFill="1" applyBorder="1"/>
    <xf numFmtId="0" fontId="82" fillId="3" borderId="20" xfId="0" applyFont="1" applyFill="1" applyBorder="1"/>
    <xf numFmtId="37" fontId="82" fillId="3" borderId="17" xfId="0" applyNumberFormat="1" applyFont="1" applyFill="1" applyBorder="1"/>
    <xf numFmtId="0" fontId="82" fillId="3" borderId="36" xfId="0" applyFont="1" applyFill="1" applyBorder="1"/>
    <xf numFmtId="165" fontId="71" fillId="0" borderId="0" xfId="0" applyNumberFormat="1" applyFont="1"/>
    <xf numFmtId="165" fontId="81" fillId="0" borderId="0" xfId="0" applyNumberFormat="1" applyFont="1"/>
    <xf numFmtId="171" fontId="76" fillId="0" borderId="35" xfId="0" applyNumberFormat="1" applyFont="1" applyBorder="1"/>
    <xf numFmtId="172" fontId="82" fillId="3" borderId="17" xfId="0" applyNumberFormat="1" applyFont="1" applyFill="1" applyBorder="1"/>
    <xf numFmtId="37" fontId="82" fillId="3" borderId="20" xfId="0" applyNumberFormat="1" applyFont="1" applyFill="1" applyBorder="1"/>
    <xf numFmtId="37" fontId="82" fillId="3" borderId="36" xfId="0" applyNumberFormat="1" applyFont="1" applyFill="1" applyBorder="1"/>
    <xf numFmtId="37" fontId="81" fillId="0" borderId="0" xfId="0" applyNumberFormat="1" applyFont="1"/>
    <xf numFmtId="169" fontId="81" fillId="0" borderId="0" xfId="0" applyNumberFormat="1" applyFont="1"/>
    <xf numFmtId="0" fontId="76" fillId="3" borderId="17" xfId="0" applyFont="1" applyFill="1" applyBorder="1"/>
    <xf numFmtId="0" fontId="81" fillId="4" borderId="1" xfId="0" applyFont="1" applyFill="1" applyBorder="1"/>
    <xf numFmtId="0" fontId="76" fillId="0" borderId="35" xfId="0" applyFont="1" applyBorder="1"/>
    <xf numFmtId="37" fontId="76" fillId="4" borderId="37" xfId="0" applyNumberFormat="1" applyFont="1" applyFill="1" applyBorder="1"/>
    <xf numFmtId="0" fontId="82" fillId="4" borderId="24" xfId="0" applyFont="1" applyFill="1" applyBorder="1"/>
    <xf numFmtId="37" fontId="82" fillId="4" borderId="24" xfId="0" applyNumberFormat="1" applyFont="1" applyFill="1" applyBorder="1"/>
    <xf numFmtId="171" fontId="76" fillId="3" borderId="20" xfId="0" applyNumberFormat="1" applyFont="1" applyFill="1" applyBorder="1"/>
    <xf numFmtId="171" fontId="76" fillId="3" borderId="17" xfId="0" applyNumberFormat="1" applyFont="1" applyFill="1" applyBorder="1"/>
    <xf numFmtId="37" fontId="76" fillId="3" borderId="36" xfId="0" applyNumberFormat="1" applyFont="1" applyFill="1" applyBorder="1"/>
    <xf numFmtId="0" fontId="76" fillId="4" borderId="24" xfId="0" applyFont="1" applyFill="1" applyBorder="1"/>
    <xf numFmtId="37" fontId="76" fillId="4" borderId="24" xfId="0" applyNumberFormat="1" applyFont="1" applyFill="1" applyBorder="1"/>
    <xf numFmtId="37" fontId="76" fillId="4" borderId="38" xfId="0" applyNumberFormat="1" applyFont="1" applyFill="1" applyBorder="1"/>
    <xf numFmtId="37" fontId="76" fillId="4" borderId="1" xfId="0" applyNumberFormat="1" applyFont="1" applyFill="1" applyBorder="1"/>
    <xf numFmtId="171" fontId="76" fillId="4" borderId="1" xfId="0" applyNumberFormat="1" applyFont="1" applyFill="1" applyBorder="1"/>
    <xf numFmtId="171" fontId="76" fillId="4" borderId="38" xfId="0" applyNumberFormat="1" applyFont="1" applyFill="1" applyBorder="1"/>
    <xf numFmtId="171" fontId="76" fillId="4" borderId="24" xfId="0" applyNumberFormat="1" applyFont="1" applyFill="1" applyBorder="1"/>
    <xf numFmtId="37" fontId="76" fillId="4" borderId="42" xfId="0" applyNumberFormat="1" applyFont="1" applyFill="1" applyBorder="1"/>
    <xf numFmtId="39" fontId="76" fillId="0" borderId="0" xfId="0" applyNumberFormat="1" applyFont="1"/>
    <xf numFmtId="37" fontId="81" fillId="0" borderId="35" xfId="0" applyNumberFormat="1" applyFont="1" applyBorder="1"/>
    <xf numFmtId="0" fontId="81" fillId="0" borderId="35" xfId="0" applyFont="1" applyBorder="1"/>
    <xf numFmtId="0" fontId="81" fillId="0" borderId="40" xfId="0" applyFont="1" applyBorder="1"/>
    <xf numFmtId="0" fontId="83" fillId="0" borderId="0" xfId="0" applyFont="1"/>
    <xf numFmtId="37" fontId="83" fillId="0" borderId="0" xfId="0" applyNumberFormat="1" applyFont="1"/>
    <xf numFmtId="37" fontId="84" fillId="0" borderId="0" xfId="0" applyNumberFormat="1" applyFont="1"/>
    <xf numFmtId="0" fontId="83" fillId="4" borderId="1" xfId="0" applyFont="1" applyFill="1" applyBorder="1"/>
    <xf numFmtId="37" fontId="81" fillId="4" borderId="1" xfId="0" applyNumberFormat="1" applyFont="1" applyFill="1" applyBorder="1"/>
    <xf numFmtId="0" fontId="85" fillId="4" borderId="1" xfId="0" applyFont="1" applyFill="1" applyBorder="1"/>
    <xf numFmtId="37" fontId="83" fillId="4" borderId="1" xfId="0" applyNumberFormat="1" applyFont="1" applyFill="1" applyBorder="1"/>
    <xf numFmtId="0" fontId="86" fillId="4" borderId="1" xfId="0" applyFont="1" applyFill="1" applyBorder="1" applyAlignment="1">
      <alignment horizontal="center" vertical="center"/>
    </xf>
    <xf numFmtId="0" fontId="81" fillId="4" borderId="1" xfId="0" applyFont="1" applyFill="1" applyBorder="1" applyAlignment="1">
      <alignment horizontal="center" vertical="center"/>
    </xf>
    <xf numFmtId="170" fontId="87" fillId="4" borderId="1" xfId="0" applyNumberFormat="1" applyFont="1" applyFill="1" applyBorder="1" applyAlignment="1">
      <alignment horizontal="right"/>
    </xf>
    <xf numFmtId="0" fontId="83" fillId="4" borderId="1" xfId="0" applyFont="1" applyFill="1" applyBorder="1" applyAlignment="1">
      <alignment horizontal="center"/>
    </xf>
    <xf numFmtId="0" fontId="81" fillId="4" borderId="1" xfId="0" applyFont="1" applyFill="1" applyBorder="1" applyAlignment="1">
      <alignment horizontal="center"/>
    </xf>
    <xf numFmtId="0" fontId="87" fillId="4" borderId="1" xfId="0" applyFont="1" applyFill="1" applyBorder="1" applyAlignment="1">
      <alignment horizontal="center"/>
    </xf>
    <xf numFmtId="0" fontId="87" fillId="4" borderId="1" xfId="0" applyFont="1" applyFill="1" applyBorder="1"/>
    <xf numFmtId="171" fontId="81" fillId="4" borderId="1" xfId="0" applyNumberFormat="1" applyFont="1" applyFill="1" applyBorder="1"/>
    <xf numFmtId="9" fontId="81" fillId="4" borderId="1" xfId="0" applyNumberFormat="1" applyFont="1" applyFill="1" applyBorder="1"/>
    <xf numFmtId="171" fontId="83" fillId="4" borderId="1" xfId="0" applyNumberFormat="1" applyFont="1" applyFill="1" applyBorder="1"/>
    <xf numFmtId="0" fontId="88" fillId="4" borderId="1" xfId="0" applyFont="1" applyFill="1" applyBorder="1"/>
    <xf numFmtId="0" fontId="86" fillId="4" borderId="1" xfId="0" applyFont="1" applyFill="1" applyBorder="1" applyAlignment="1">
      <alignment horizontal="center"/>
    </xf>
    <xf numFmtId="170" fontId="81" fillId="4" borderId="1" xfId="0" applyNumberFormat="1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87" fillId="4" borderId="1" xfId="0" applyFont="1" applyFill="1" applyBorder="1" applyAlignment="1">
      <alignment horizontal="left"/>
    </xf>
    <xf numFmtId="0" fontId="90" fillId="4" borderId="1" xfId="0" applyFont="1" applyFill="1" applyBorder="1"/>
    <xf numFmtId="0" fontId="91" fillId="0" borderId="0" xfId="0" applyFont="1" applyAlignment="1">
      <alignment horizontal="center" vertical="top"/>
    </xf>
    <xf numFmtId="0" fontId="92" fillId="6" borderId="43" xfId="0" applyFont="1" applyFill="1" applyBorder="1" applyAlignment="1">
      <alignment horizontal="center" vertical="center" wrapText="1"/>
    </xf>
    <xf numFmtId="1" fontId="63" fillId="0" borderId="0" xfId="0" applyNumberFormat="1" applyFont="1" applyAlignment="1">
      <alignment horizontal="left" vertical="top"/>
    </xf>
    <xf numFmtId="49" fontId="63" fillId="0" borderId="0" xfId="0" applyNumberFormat="1" applyFont="1" applyAlignment="1">
      <alignment horizontal="left" vertical="top"/>
    </xf>
    <xf numFmtId="4" fontId="63" fillId="0" borderId="0" xfId="0" applyNumberFormat="1" applyFont="1" applyAlignment="1">
      <alignment horizontal="center" vertical="top"/>
    </xf>
    <xf numFmtId="0" fontId="63" fillId="7" borderId="1" xfId="0" applyFont="1" applyFill="1" applyBorder="1" applyAlignment="1">
      <alignment horizontal="center"/>
    </xf>
    <xf numFmtId="0" fontId="63" fillId="5" borderId="1" xfId="0" applyFont="1" applyFill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2" fillId="9" borderId="1" xfId="0" applyFont="1" applyFill="1" applyBorder="1"/>
    <xf numFmtId="49" fontId="95" fillId="0" borderId="48" xfId="0" applyNumberFormat="1" applyFont="1" applyBorder="1" applyAlignment="1">
      <alignment horizontal="left" vertical="top"/>
    </xf>
    <xf numFmtId="0" fontId="94" fillId="0" borderId="48" xfId="0" applyFont="1" applyBorder="1" applyAlignment="1">
      <alignment horizontal="left" vertical="top"/>
    </xf>
    <xf numFmtId="0" fontId="94" fillId="0" borderId="0" xfId="0" applyFont="1" applyAlignment="1">
      <alignment horizontal="left" vertical="top"/>
    </xf>
    <xf numFmtId="0" fontId="93" fillId="0" borderId="0" xfId="0" applyFont="1"/>
    <xf numFmtId="0" fontId="63" fillId="9" borderId="1" xfId="0" applyFont="1" applyFill="1" applyBorder="1"/>
    <xf numFmtId="0" fontId="95" fillId="0" borderId="48" xfId="0" applyFont="1" applyBorder="1" applyAlignment="1">
      <alignment horizontal="left" vertical="top"/>
    </xf>
    <xf numFmtId="39" fontId="94" fillId="0" borderId="48" xfId="0" applyNumberFormat="1" applyFont="1" applyBorder="1" applyAlignment="1">
      <alignment horizontal="left" vertical="top"/>
    </xf>
    <xf numFmtId="39" fontId="94" fillId="10" borderId="49" xfId="0" applyNumberFormat="1" applyFont="1" applyFill="1" applyBorder="1" applyAlignment="1">
      <alignment horizontal="left" vertical="top"/>
    </xf>
    <xf numFmtId="0" fontId="95" fillId="10" borderId="49" xfId="0" applyFont="1" applyFill="1" applyBorder="1" applyAlignment="1">
      <alignment horizontal="left" vertical="top"/>
    </xf>
    <xf numFmtId="39" fontId="94" fillId="0" borderId="44" xfId="0" applyNumberFormat="1" applyFont="1" applyBorder="1" applyAlignment="1">
      <alignment horizontal="left" vertical="top"/>
    </xf>
    <xf numFmtId="0" fontId="95" fillId="0" borderId="44" xfId="0" applyFont="1" applyBorder="1" applyAlignment="1">
      <alignment horizontal="left" vertical="top"/>
    </xf>
    <xf numFmtId="0" fontId="95" fillId="0" borderId="0" xfId="0" applyFont="1" applyAlignment="1">
      <alignment horizontal="left" vertical="top"/>
    </xf>
    <xf numFmtId="1" fontId="95" fillId="0" borderId="48" xfId="0" applyNumberFormat="1" applyFont="1" applyBorder="1" applyAlignment="1">
      <alignment horizontal="left" vertical="top"/>
    </xf>
    <xf numFmtId="49" fontId="94" fillId="0" borderId="48" xfId="0" applyNumberFormat="1" applyFont="1" applyBorder="1" applyAlignment="1">
      <alignment horizontal="left" vertical="top"/>
    </xf>
    <xf numFmtId="1" fontId="95" fillId="10" borderId="49" xfId="0" applyNumberFormat="1" applyFont="1" applyFill="1" applyBorder="1" applyAlignment="1">
      <alignment horizontal="left" vertical="top"/>
    </xf>
    <xf numFmtId="49" fontId="94" fillId="10" borderId="49" xfId="0" applyNumberFormat="1" applyFont="1" applyFill="1" applyBorder="1" applyAlignment="1">
      <alignment horizontal="left" vertical="top"/>
    </xf>
    <xf numFmtId="0" fontId="94" fillId="10" borderId="49" xfId="0" applyFont="1" applyFill="1" applyBorder="1" applyAlignment="1">
      <alignment horizontal="left" vertical="top"/>
    </xf>
    <xf numFmtId="0" fontId="94" fillId="0" borderId="44" xfId="0" applyFont="1" applyBorder="1" applyAlignment="1">
      <alignment horizontal="left" vertical="top"/>
    </xf>
    <xf numFmtId="0" fontId="96" fillId="0" borderId="48" xfId="0" applyFont="1" applyBorder="1" applyAlignment="1">
      <alignment horizontal="left" vertical="top"/>
    </xf>
    <xf numFmtId="0" fontId="94" fillId="0" borderId="45" xfId="0" applyFont="1" applyBorder="1" applyAlignment="1">
      <alignment horizontal="left" vertical="top"/>
    </xf>
    <xf numFmtId="0" fontId="97" fillId="8" borderId="49" xfId="0" applyFont="1" applyFill="1" applyBorder="1" applyAlignment="1">
      <alignment horizontal="left" vertical="top"/>
    </xf>
    <xf numFmtId="0" fontId="94" fillId="8" borderId="49" xfId="0" applyFont="1" applyFill="1" applyBorder="1" applyAlignment="1">
      <alignment horizontal="left" vertical="top"/>
    </xf>
    <xf numFmtId="0" fontId="95" fillId="5" borderId="49" xfId="0" applyFont="1" applyFill="1" applyBorder="1" applyAlignment="1">
      <alignment horizontal="left" vertical="top"/>
    </xf>
    <xf numFmtId="0" fontId="94" fillId="5" borderId="49" xfId="0" applyFont="1" applyFill="1" applyBorder="1" applyAlignment="1">
      <alignment horizontal="left" vertical="top"/>
    </xf>
    <xf numFmtId="0" fontId="94" fillId="5" borderId="1" xfId="0" applyFont="1" applyFill="1" applyBorder="1" applyAlignment="1">
      <alignment horizontal="left" vertical="top"/>
    </xf>
    <xf numFmtId="3" fontId="73" fillId="0" borderId="52" xfId="0" applyNumberFormat="1" applyFont="1" applyBorder="1"/>
    <xf numFmtId="0" fontId="73" fillId="0" borderId="1" xfId="0" applyFont="1" applyBorder="1"/>
    <xf numFmtId="3" fontId="73" fillId="0" borderId="1" xfId="0" applyNumberFormat="1" applyFont="1" applyBorder="1"/>
    <xf numFmtId="3" fontId="73" fillId="0" borderId="15" xfId="0" applyNumberFormat="1" applyFont="1" applyBorder="1"/>
    <xf numFmtId="3" fontId="73" fillId="0" borderId="53" xfId="0" applyNumberFormat="1" applyFont="1" applyBorder="1"/>
    <xf numFmtId="3" fontId="73" fillId="0" borderId="12" xfId="0" applyNumberFormat="1" applyFont="1" applyBorder="1"/>
    <xf numFmtId="3" fontId="73" fillId="0" borderId="54" xfId="0" applyNumberFormat="1" applyFont="1" applyBorder="1"/>
    <xf numFmtId="3" fontId="73" fillId="0" borderId="55" xfId="0" applyNumberFormat="1" applyFont="1" applyBorder="1"/>
    <xf numFmtId="2" fontId="73" fillId="0" borderId="1" xfId="0" applyNumberFormat="1" applyFont="1" applyBorder="1"/>
    <xf numFmtId="3" fontId="73" fillId="0" borderId="56" xfId="0" applyNumberFormat="1" applyFont="1" applyBorder="1"/>
    <xf numFmtId="0" fontId="63" fillId="0" borderId="0" xfId="0" applyFont="1" applyAlignment="1">
      <alignment horizontal="center"/>
    </xf>
    <xf numFmtId="37" fontId="73" fillId="0" borderId="55" xfId="0" applyNumberFormat="1" applyFont="1" applyBorder="1"/>
    <xf numFmtId="172" fontId="73" fillId="0" borderId="55" xfId="0" applyNumberFormat="1" applyFont="1" applyBorder="1"/>
    <xf numFmtId="171" fontId="73" fillId="0" borderId="52" xfId="0" applyNumberFormat="1" applyFont="1" applyBorder="1"/>
    <xf numFmtId="0" fontId="73" fillId="0" borderId="55" xfId="0" applyFont="1" applyBorder="1" applyAlignment="1">
      <alignment horizontal="center"/>
    </xf>
    <xf numFmtId="0" fontId="73" fillId="0" borderId="52" xfId="0" applyFont="1" applyBorder="1" applyAlignment="1">
      <alignment horizontal="center"/>
    </xf>
    <xf numFmtId="171" fontId="73" fillId="0" borderId="55" xfId="0" applyNumberFormat="1" applyFont="1" applyBorder="1"/>
    <xf numFmtId="37" fontId="73" fillId="0" borderId="52" xfId="0" applyNumberFormat="1" applyFont="1" applyBorder="1"/>
    <xf numFmtId="37" fontId="73" fillId="0" borderId="1" xfId="0" applyNumberFormat="1" applyFont="1" applyBorder="1"/>
    <xf numFmtId="37" fontId="74" fillId="0" borderId="24" xfId="0" applyNumberFormat="1" applyFont="1" applyBorder="1"/>
    <xf numFmtId="37" fontId="73" fillId="0" borderId="57" xfId="0" applyNumberFormat="1" applyFont="1" applyBorder="1"/>
    <xf numFmtId="37" fontId="74" fillId="0" borderId="58" xfId="0" applyNumberFormat="1" applyFont="1" applyBorder="1"/>
    <xf numFmtId="37" fontId="73" fillId="0" borderId="58" xfId="0" applyNumberFormat="1" applyFont="1" applyBorder="1"/>
    <xf numFmtId="37" fontId="73" fillId="0" borderId="60" xfId="0" applyNumberFormat="1" applyFont="1" applyBorder="1"/>
    <xf numFmtId="37" fontId="73" fillId="11" borderId="1" xfId="0" applyNumberFormat="1" applyFont="1" applyFill="1" applyBorder="1"/>
    <xf numFmtId="171" fontId="74" fillId="3" borderId="1" xfId="0" applyNumberFormat="1" applyFont="1" applyFill="1" applyBorder="1"/>
    <xf numFmtId="0" fontId="73" fillId="0" borderId="62" xfId="0" applyFont="1" applyBorder="1" applyAlignment="1">
      <alignment horizontal="center"/>
    </xf>
    <xf numFmtId="0" fontId="73" fillId="0" borderId="61" xfId="0" applyFont="1" applyBorder="1" applyAlignment="1">
      <alignment horizontal="center"/>
    </xf>
    <xf numFmtId="0" fontId="73" fillId="0" borderId="63" xfId="0" applyFont="1" applyBorder="1" applyAlignment="1">
      <alignment horizontal="center"/>
    </xf>
    <xf numFmtId="37" fontId="73" fillId="11" borderId="64" xfId="0" applyNumberFormat="1" applyFont="1" applyFill="1" applyBorder="1"/>
    <xf numFmtId="37" fontId="73" fillId="0" borderId="63" xfId="0" applyNumberFormat="1" applyFont="1" applyBorder="1"/>
    <xf numFmtId="171" fontId="73" fillId="0" borderId="1" xfId="0" applyNumberFormat="1" applyFont="1" applyBorder="1"/>
    <xf numFmtId="37" fontId="73" fillId="0" borderId="54" xfId="0" applyNumberFormat="1" applyFont="1" applyBorder="1"/>
    <xf numFmtId="0" fontId="73" fillId="0" borderId="54" xfId="0" applyFont="1" applyBorder="1" applyAlignment="1">
      <alignment horizontal="center"/>
    </xf>
    <xf numFmtId="171" fontId="76" fillId="0" borderId="58" xfId="0" applyNumberFormat="1" applyFont="1" applyBorder="1"/>
    <xf numFmtId="171" fontId="76" fillId="0" borderId="57" xfId="0" applyNumberFormat="1" applyFont="1" applyBorder="1"/>
    <xf numFmtId="171" fontId="76" fillId="0" borderId="65" xfId="0" applyNumberFormat="1" applyFont="1" applyBorder="1"/>
    <xf numFmtId="171" fontId="103" fillId="0" borderId="57" xfId="0" applyNumberFormat="1" applyFont="1" applyBorder="1"/>
    <xf numFmtId="37" fontId="82" fillId="3" borderId="66" xfId="0" applyNumberFormat="1" applyFont="1" applyFill="1" applyBorder="1"/>
    <xf numFmtId="37" fontId="82" fillId="3" borderId="67" xfId="0" applyNumberFormat="1" applyFont="1" applyFill="1" applyBorder="1"/>
    <xf numFmtId="0" fontId="81" fillId="0" borderId="1" xfId="0" applyFont="1" applyBorder="1"/>
    <xf numFmtId="3" fontId="73" fillId="11" borderId="69" xfId="0" applyNumberFormat="1" applyFont="1" applyFill="1" applyBorder="1"/>
    <xf numFmtId="3" fontId="73" fillId="11" borderId="70" xfId="0" applyNumberFormat="1" applyFont="1" applyFill="1" applyBorder="1"/>
    <xf numFmtId="172" fontId="74" fillId="0" borderId="24" xfId="0" applyNumberFormat="1" applyFont="1" applyBorder="1"/>
    <xf numFmtId="37" fontId="74" fillId="0" borderId="25" xfId="0" applyNumberFormat="1" applyFont="1" applyBorder="1"/>
    <xf numFmtId="37" fontId="74" fillId="0" borderId="23" xfId="0" applyNumberFormat="1" applyFont="1" applyBorder="1"/>
    <xf numFmtId="0" fontId="73" fillId="0" borderId="12" xfId="0" applyFont="1" applyBorder="1"/>
    <xf numFmtId="37" fontId="73" fillId="0" borderId="12" xfId="0" applyNumberFormat="1" applyFont="1" applyBorder="1"/>
    <xf numFmtId="37" fontId="73" fillId="0" borderId="15" xfId="0" applyNumberFormat="1" applyFont="1" applyBorder="1"/>
    <xf numFmtId="172" fontId="73" fillId="0" borderId="1" xfId="0" applyNumberFormat="1" applyFont="1" applyBorder="1"/>
    <xf numFmtId="171" fontId="73" fillId="0" borderId="15" xfId="0" applyNumberFormat="1" applyFont="1" applyBorder="1"/>
    <xf numFmtId="37" fontId="74" fillId="0" borderId="12" xfId="0" applyNumberFormat="1" applyFont="1" applyBorder="1"/>
    <xf numFmtId="172" fontId="74" fillId="0" borderId="1" xfId="0" applyNumberFormat="1" applyFont="1" applyBorder="1"/>
    <xf numFmtId="37" fontId="74" fillId="0" borderId="15" xfId="0" applyNumberFormat="1" applyFont="1" applyBorder="1"/>
    <xf numFmtId="37" fontId="74" fillId="0" borderId="1" xfId="0" applyNumberFormat="1" applyFont="1" applyBorder="1"/>
    <xf numFmtId="0" fontId="74" fillId="0" borderId="12" xfId="0" applyFont="1" applyBorder="1"/>
    <xf numFmtId="0" fontId="74" fillId="0" borderId="1" xfId="0" applyFont="1" applyBorder="1"/>
    <xf numFmtId="171" fontId="74" fillId="0" borderId="15" xfId="0" applyNumberFormat="1" applyFont="1" applyBorder="1"/>
    <xf numFmtId="171" fontId="74" fillId="0" borderId="12" xfId="0" applyNumberFormat="1" applyFont="1" applyBorder="1"/>
    <xf numFmtId="37" fontId="100" fillId="0" borderId="1" xfId="0" applyNumberFormat="1" applyFont="1" applyBorder="1"/>
    <xf numFmtId="0" fontId="82" fillId="0" borderId="1" xfId="0" applyFont="1" applyBorder="1"/>
    <xf numFmtId="37" fontId="76" fillId="0" borderId="37" xfId="0" applyNumberFormat="1" applyFont="1" applyBorder="1"/>
    <xf numFmtId="171" fontId="82" fillId="0" borderId="24" xfId="0" applyNumberFormat="1" applyFont="1" applyBorder="1"/>
    <xf numFmtId="0" fontId="82" fillId="0" borderId="24" xfId="0" applyFont="1" applyBorder="1"/>
    <xf numFmtId="37" fontId="82" fillId="0" borderId="38" xfId="0" applyNumberFormat="1" applyFont="1" applyBorder="1"/>
    <xf numFmtId="171" fontId="82" fillId="0" borderId="38" xfId="0" applyNumberFormat="1" applyFont="1" applyBorder="1"/>
    <xf numFmtId="37" fontId="82" fillId="0" borderId="24" xfId="0" applyNumberFormat="1" applyFont="1" applyBorder="1"/>
    <xf numFmtId="171" fontId="82" fillId="0" borderId="1" xfId="0" applyNumberFormat="1" applyFont="1" applyBorder="1"/>
    <xf numFmtId="37" fontId="82" fillId="0" borderId="39" xfId="0" applyNumberFormat="1" applyFont="1" applyBorder="1"/>
    <xf numFmtId="171" fontId="82" fillId="0" borderId="39" xfId="0" applyNumberFormat="1" applyFont="1" applyBorder="1"/>
    <xf numFmtId="37" fontId="76" fillId="0" borderId="40" xfId="0" applyNumberFormat="1" applyFont="1" applyBorder="1"/>
    <xf numFmtId="37" fontId="82" fillId="0" borderId="1" xfId="0" applyNumberFormat="1" applyFont="1" applyBorder="1"/>
    <xf numFmtId="0" fontId="73" fillId="0" borderId="1" xfId="0" applyFont="1" applyBorder="1" applyAlignment="1">
      <alignment horizontal="right"/>
    </xf>
    <xf numFmtId="0" fontId="73" fillId="0" borderId="70" xfId="0" applyFont="1" applyBorder="1"/>
    <xf numFmtId="0" fontId="73" fillId="0" borderId="72" xfId="0" applyFont="1" applyBorder="1"/>
    <xf numFmtId="0" fontId="73" fillId="0" borderId="12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0" fontId="73" fillId="0" borderId="15" xfId="0" applyFont="1" applyBorder="1" applyAlignment="1">
      <alignment horizontal="center"/>
    </xf>
    <xf numFmtId="0" fontId="73" fillId="0" borderId="57" xfId="0" applyFont="1" applyBorder="1" applyAlignment="1">
      <alignment horizontal="center"/>
    </xf>
    <xf numFmtId="0" fontId="74" fillId="3" borderId="73" xfId="0" applyFont="1" applyFill="1" applyBorder="1"/>
    <xf numFmtId="37" fontId="74" fillId="3" borderId="74" xfId="0" applyNumberFormat="1" applyFont="1" applyFill="1" applyBorder="1"/>
    <xf numFmtId="0" fontId="74" fillId="3" borderId="75" xfId="0" applyFont="1" applyFill="1" applyBorder="1"/>
    <xf numFmtId="171" fontId="74" fillId="3" borderId="76" xfId="0" applyNumberFormat="1" applyFont="1" applyFill="1" applyBorder="1"/>
    <xf numFmtId="0" fontId="74" fillId="0" borderId="72" xfId="0" applyFont="1" applyBorder="1"/>
    <xf numFmtId="171" fontId="73" fillId="0" borderId="15" xfId="1" applyNumberFormat="1" applyFont="1" applyFill="1" applyBorder="1"/>
    <xf numFmtId="171" fontId="74" fillId="0" borderId="57" xfId="0" applyNumberFormat="1" applyFont="1" applyBorder="1"/>
    <xf numFmtId="0" fontId="74" fillId="0" borderId="72" xfId="0" applyFont="1" applyBorder="1" applyAlignment="1">
      <alignment horizontal="left"/>
    </xf>
    <xf numFmtId="0" fontId="99" fillId="0" borderId="1" xfId="0" applyFont="1" applyBorder="1"/>
    <xf numFmtId="0" fontId="73" fillId="0" borderId="15" xfId="0" applyFont="1" applyBorder="1"/>
    <xf numFmtId="0" fontId="73" fillId="0" borderId="57" xfId="0" applyFont="1" applyBorder="1"/>
    <xf numFmtId="0" fontId="76" fillId="0" borderId="72" xfId="0" applyFont="1" applyBorder="1"/>
    <xf numFmtId="0" fontId="76" fillId="0" borderId="77" xfId="0" applyFont="1" applyBorder="1"/>
    <xf numFmtId="0" fontId="73" fillId="0" borderId="12" xfId="0" applyFont="1" applyBorder="1" applyAlignment="1">
      <alignment horizontal="right"/>
    </xf>
    <xf numFmtId="0" fontId="73" fillId="0" borderId="24" xfId="0" applyFont="1" applyBorder="1" applyAlignment="1">
      <alignment horizontal="right"/>
    </xf>
    <xf numFmtId="0" fontId="73" fillId="0" borderId="24" xfId="0" applyFont="1" applyBorder="1"/>
    <xf numFmtId="0" fontId="73" fillId="0" borderId="23" xfId="0" applyFont="1" applyBorder="1" applyAlignment="1">
      <alignment horizontal="right"/>
    </xf>
    <xf numFmtId="0" fontId="73" fillId="0" borderId="23" xfId="0" applyFont="1" applyBorder="1"/>
    <xf numFmtId="37" fontId="73" fillId="0" borderId="25" xfId="0" applyNumberFormat="1" applyFont="1" applyBorder="1"/>
    <xf numFmtId="0" fontId="73" fillId="0" borderId="22" xfId="0" applyFont="1" applyBorder="1" applyAlignment="1">
      <alignment horizontal="right"/>
    </xf>
    <xf numFmtId="0" fontId="73" fillId="0" borderId="22" xfId="0" applyFont="1" applyBorder="1"/>
    <xf numFmtId="0" fontId="73" fillId="0" borderId="13" xfId="0" applyFont="1" applyBorder="1" applyAlignment="1">
      <alignment horizontal="right"/>
    </xf>
    <xf numFmtId="0" fontId="73" fillId="0" borderId="13" xfId="0" applyFont="1" applyBorder="1"/>
    <xf numFmtId="37" fontId="73" fillId="0" borderId="19" xfId="0" applyNumberFormat="1" applyFont="1" applyBorder="1"/>
    <xf numFmtId="0" fontId="74" fillId="3" borderId="78" xfId="0" applyFont="1" applyFill="1" applyBorder="1"/>
    <xf numFmtId="37" fontId="74" fillId="3" borderId="60" xfId="0" applyNumberFormat="1" applyFont="1" applyFill="1" applyBorder="1"/>
    <xf numFmtId="0" fontId="76" fillId="0" borderId="79" xfId="0" applyFont="1" applyBorder="1"/>
    <xf numFmtId="0" fontId="74" fillId="0" borderId="15" xfId="0" applyFont="1" applyBorder="1"/>
    <xf numFmtId="0" fontId="74" fillId="0" borderId="57" xfId="0" applyFont="1" applyBorder="1"/>
    <xf numFmtId="37" fontId="74" fillId="3" borderId="59" xfId="0" applyNumberFormat="1" applyFont="1" applyFill="1" applyBorder="1"/>
    <xf numFmtId="0" fontId="74" fillId="3" borderId="80" xfId="0" applyFont="1" applyFill="1" applyBorder="1"/>
    <xf numFmtId="0" fontId="74" fillId="3" borderId="66" xfId="0" applyFont="1" applyFill="1" applyBorder="1"/>
    <xf numFmtId="37" fontId="74" fillId="3" borderId="81" xfId="0" applyNumberFormat="1" applyFont="1" applyFill="1" applyBorder="1"/>
    <xf numFmtId="0" fontId="74" fillId="3" borderId="82" xfId="0" applyFont="1" applyFill="1" applyBorder="1"/>
    <xf numFmtId="0" fontId="73" fillId="3" borderId="82" xfId="0" applyFont="1" applyFill="1" applyBorder="1"/>
    <xf numFmtId="0" fontId="73" fillId="3" borderId="66" xfId="0" applyFont="1" applyFill="1" applyBorder="1"/>
    <xf numFmtId="37" fontId="74" fillId="3" borderId="83" xfId="0" applyNumberFormat="1" applyFont="1" applyFill="1" applyBorder="1"/>
    <xf numFmtId="171" fontId="73" fillId="0" borderId="12" xfId="0" applyNumberFormat="1" applyFont="1" applyBorder="1"/>
    <xf numFmtId="0" fontId="73" fillId="0" borderId="77" xfId="0" applyFont="1" applyBorder="1"/>
    <xf numFmtId="171" fontId="74" fillId="0" borderId="24" xfId="0" applyNumberFormat="1" applyFont="1" applyBorder="1"/>
    <xf numFmtId="171" fontId="74" fillId="0" borderId="23" xfId="0" applyNumberFormat="1" applyFont="1" applyBorder="1"/>
    <xf numFmtId="0" fontId="73" fillId="0" borderId="19" xfId="0" applyFont="1" applyBorder="1"/>
    <xf numFmtId="0" fontId="99" fillId="0" borderId="22" xfId="0" applyFont="1" applyBorder="1"/>
    <xf numFmtId="171" fontId="74" fillId="0" borderId="19" xfId="0" applyNumberFormat="1" applyFont="1" applyBorder="1"/>
    <xf numFmtId="171" fontId="74" fillId="0" borderId="60" xfId="0" applyNumberFormat="1" applyFont="1" applyBorder="1"/>
    <xf numFmtId="171" fontId="73" fillId="0" borderId="22" xfId="0" applyNumberFormat="1" applyFont="1" applyBorder="1"/>
    <xf numFmtId="37" fontId="73" fillId="0" borderId="13" xfId="0" applyNumberFormat="1" applyFont="1" applyBorder="1"/>
    <xf numFmtId="0" fontId="74" fillId="3" borderId="84" xfId="0" applyFont="1" applyFill="1" applyBorder="1"/>
    <xf numFmtId="0" fontId="73" fillId="3" borderId="62" xfId="0" applyFont="1" applyFill="1" applyBorder="1" applyAlignment="1">
      <alignment horizontal="right"/>
    </xf>
    <xf numFmtId="0" fontId="73" fillId="3" borderId="62" xfId="0" applyFont="1" applyFill="1" applyBorder="1"/>
    <xf numFmtId="37" fontId="74" fillId="3" borderId="61" xfId="0" applyNumberFormat="1" applyFont="1" applyFill="1" applyBorder="1"/>
    <xf numFmtId="0" fontId="73" fillId="3" borderId="63" xfId="0" applyFont="1" applyFill="1" applyBorder="1" applyAlignment="1">
      <alignment horizontal="right"/>
    </xf>
    <xf numFmtId="0" fontId="74" fillId="3" borderId="63" xfId="0" applyFont="1" applyFill="1" applyBorder="1"/>
    <xf numFmtId="0" fontId="74" fillId="3" borderId="62" xfId="0" applyFont="1" applyFill="1" applyBorder="1"/>
    <xf numFmtId="37" fontId="74" fillId="3" borderId="85" xfId="0" applyNumberFormat="1" applyFont="1" applyFill="1" applyBorder="1"/>
    <xf numFmtId="1" fontId="73" fillId="0" borderId="12" xfId="0" applyNumberFormat="1" applyFont="1" applyBorder="1"/>
    <xf numFmtId="0" fontId="73" fillId="0" borderId="79" xfId="0" applyFont="1" applyBorder="1"/>
    <xf numFmtId="1" fontId="73" fillId="0" borderId="23" xfId="0" applyNumberFormat="1" applyFont="1" applyBorder="1"/>
    <xf numFmtId="37" fontId="73" fillId="0" borderId="23" xfId="0" applyNumberFormat="1" applyFont="1" applyBorder="1"/>
    <xf numFmtId="171" fontId="73" fillId="0" borderId="23" xfId="0" applyNumberFormat="1" applyFont="1" applyBorder="1"/>
    <xf numFmtId="37" fontId="73" fillId="0" borderId="24" xfId="0" applyNumberFormat="1" applyFont="1" applyBorder="1"/>
    <xf numFmtId="172" fontId="73" fillId="0" borderId="22" xfId="0" applyNumberFormat="1" applyFont="1" applyBorder="1"/>
    <xf numFmtId="171" fontId="73" fillId="0" borderId="19" xfId="0" applyNumberFormat="1" applyFont="1" applyBorder="1"/>
    <xf numFmtId="2" fontId="73" fillId="0" borderId="22" xfId="0" applyNumberFormat="1" applyFont="1" applyBorder="1"/>
    <xf numFmtId="171" fontId="73" fillId="0" borderId="13" xfId="0" applyNumberFormat="1" applyFont="1" applyBorder="1"/>
    <xf numFmtId="37" fontId="74" fillId="3" borderId="86" xfId="0" applyNumberFormat="1" applyFont="1" applyFill="1" applyBorder="1"/>
    <xf numFmtId="0" fontId="74" fillId="3" borderId="87" xfId="0" applyFont="1" applyFill="1" applyBorder="1"/>
    <xf numFmtId="0" fontId="74" fillId="3" borderId="31" xfId="0" applyFont="1" applyFill="1" applyBorder="1"/>
    <xf numFmtId="171" fontId="74" fillId="0" borderId="13" xfId="0" applyNumberFormat="1" applyFont="1" applyBorder="1"/>
    <xf numFmtId="173" fontId="73" fillId="0" borderId="1" xfId="0" applyNumberFormat="1" applyFont="1" applyBorder="1"/>
    <xf numFmtId="37" fontId="74" fillId="0" borderId="57" xfId="0" applyNumberFormat="1" applyFont="1" applyBorder="1"/>
    <xf numFmtId="0" fontId="74" fillId="0" borderId="22" xfId="0" applyFont="1" applyBorder="1"/>
    <xf numFmtId="172" fontId="74" fillId="0" borderId="22" xfId="0" applyNumberFormat="1" applyFont="1" applyBorder="1"/>
    <xf numFmtId="0" fontId="74" fillId="0" borderId="13" xfId="0" applyFont="1" applyBorder="1"/>
    <xf numFmtId="37" fontId="74" fillId="0" borderId="13" xfId="0" applyNumberFormat="1" applyFont="1" applyBorder="1"/>
    <xf numFmtId="37" fontId="74" fillId="0" borderId="19" xfId="0" applyNumberFormat="1" applyFont="1" applyBorder="1"/>
    <xf numFmtId="37" fontId="74" fillId="0" borderId="60" xfId="0" applyNumberFormat="1" applyFont="1" applyBorder="1"/>
    <xf numFmtId="0" fontId="74" fillId="4" borderId="73" xfId="0" applyFont="1" applyFill="1" applyBorder="1"/>
    <xf numFmtId="171" fontId="101" fillId="0" borderId="12" xfId="0" applyNumberFormat="1" applyFont="1" applyBorder="1"/>
    <xf numFmtId="37" fontId="74" fillId="4" borderId="86" xfId="0" applyNumberFormat="1" applyFont="1" applyFill="1" applyBorder="1"/>
    <xf numFmtId="0" fontId="74" fillId="4" borderId="77" xfId="0" applyFont="1" applyFill="1" applyBorder="1"/>
    <xf numFmtId="0" fontId="74" fillId="0" borderId="79" xfId="0" applyFont="1" applyBorder="1"/>
    <xf numFmtId="0" fontId="74" fillId="4" borderId="79" xfId="0" applyFont="1" applyFill="1" applyBorder="1"/>
    <xf numFmtId="37" fontId="74" fillId="4" borderId="58" xfId="0" applyNumberFormat="1" applyFont="1" applyFill="1" applyBorder="1"/>
    <xf numFmtId="0" fontId="73" fillId="0" borderId="24" xfId="0" applyFont="1" applyBorder="1" applyAlignment="1">
      <alignment horizontal="center"/>
    </xf>
    <xf numFmtId="0" fontId="73" fillId="0" borderId="13" xfId="0" applyFont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22" xfId="0" applyFont="1" applyBorder="1" applyAlignment="1">
      <alignment horizontal="center"/>
    </xf>
    <xf numFmtId="0" fontId="73" fillId="0" borderId="60" xfId="0" applyFont="1" applyBorder="1" applyAlignment="1">
      <alignment horizontal="center"/>
    </xf>
    <xf numFmtId="3" fontId="73" fillId="0" borderId="57" xfId="0" applyNumberFormat="1" applyFont="1" applyBorder="1"/>
    <xf numFmtId="3" fontId="74" fillId="0" borderId="24" xfId="0" applyNumberFormat="1" applyFont="1" applyBorder="1"/>
    <xf numFmtId="3" fontId="74" fillId="0" borderId="25" xfId="0" applyNumberFormat="1" applyFont="1" applyBorder="1"/>
    <xf numFmtId="3" fontId="74" fillId="0" borderId="23" xfId="0" applyNumberFormat="1" applyFont="1" applyBorder="1"/>
    <xf numFmtId="3" fontId="74" fillId="0" borderId="58" xfId="0" applyNumberFormat="1" applyFont="1" applyBorder="1"/>
    <xf numFmtId="3" fontId="73" fillId="0" borderId="19" xfId="0" applyNumberFormat="1" applyFont="1" applyBorder="1"/>
    <xf numFmtId="3" fontId="73" fillId="0" borderId="13" xfId="0" applyNumberFormat="1" applyFont="1" applyBorder="1"/>
    <xf numFmtId="3" fontId="73" fillId="0" borderId="22" xfId="0" applyNumberFormat="1" applyFont="1" applyBorder="1"/>
    <xf numFmtId="3" fontId="74" fillId="0" borderId="13" xfId="0" applyNumberFormat="1" applyFont="1" applyBorder="1"/>
    <xf numFmtId="3" fontId="74" fillId="0" borderId="19" xfId="0" applyNumberFormat="1" applyFont="1" applyBorder="1"/>
    <xf numFmtId="3" fontId="74" fillId="0" borderId="60" xfId="0" applyNumberFormat="1" applyFont="1" applyBorder="1"/>
    <xf numFmtId="3" fontId="73" fillId="0" borderId="23" xfId="0" applyNumberFormat="1" applyFont="1" applyBorder="1"/>
    <xf numFmtId="171" fontId="100" fillId="11" borderId="88" xfId="0" applyNumberFormat="1" applyFont="1" applyFill="1" applyBorder="1"/>
    <xf numFmtId="37" fontId="73" fillId="0" borderId="22" xfId="0" applyNumberFormat="1" applyFont="1" applyBorder="1"/>
    <xf numFmtId="0" fontId="74" fillId="0" borderId="1" xfId="0" applyFont="1" applyBorder="1" applyAlignment="1">
      <alignment horizontal="center"/>
    </xf>
    <xf numFmtId="171" fontId="74" fillId="0" borderId="1" xfId="0" applyNumberFormat="1" applyFont="1" applyBorder="1"/>
    <xf numFmtId="0" fontId="74" fillId="0" borderId="12" xfId="0" applyFont="1" applyBorder="1" applyAlignment="1">
      <alignment horizontal="center"/>
    </xf>
    <xf numFmtId="3" fontId="73" fillId="0" borderId="24" xfId="0" applyNumberFormat="1" applyFont="1" applyBorder="1" applyAlignment="1">
      <alignment horizontal="center"/>
    </xf>
    <xf numFmtId="3" fontId="73" fillId="0" borderId="1" xfId="0" applyNumberFormat="1" applyFont="1" applyBorder="1" applyAlignment="1">
      <alignment horizontal="center"/>
    </xf>
    <xf numFmtId="3" fontId="73" fillId="0" borderId="15" xfId="0" applyNumberFormat="1" applyFont="1" applyBorder="1" applyAlignment="1">
      <alignment horizontal="center"/>
    </xf>
    <xf numFmtId="3" fontId="73" fillId="0" borderId="12" xfId="0" applyNumberFormat="1" applyFont="1" applyBorder="1" applyAlignment="1">
      <alignment horizontal="center"/>
    </xf>
    <xf numFmtId="3" fontId="73" fillId="0" borderId="57" xfId="0" applyNumberFormat="1" applyFont="1" applyBorder="1" applyAlignment="1">
      <alignment horizontal="center"/>
    </xf>
    <xf numFmtId="3" fontId="73" fillId="0" borderId="22" xfId="0" applyNumberFormat="1" applyFont="1" applyBorder="1" applyAlignment="1">
      <alignment horizontal="center"/>
    </xf>
    <xf numFmtId="3" fontId="73" fillId="0" borderId="13" xfId="0" applyNumberFormat="1" applyFont="1" applyBorder="1" applyAlignment="1">
      <alignment horizontal="center"/>
    </xf>
    <xf numFmtId="3" fontId="73" fillId="0" borderId="19" xfId="0" applyNumberFormat="1" applyFont="1" applyBorder="1" applyAlignment="1">
      <alignment horizontal="center"/>
    </xf>
    <xf numFmtId="3" fontId="73" fillId="0" borderId="60" xfId="0" applyNumberFormat="1" applyFont="1" applyBorder="1" applyAlignment="1">
      <alignment horizontal="center"/>
    </xf>
    <xf numFmtId="0" fontId="74" fillId="0" borderId="77" xfId="0" applyFont="1" applyBorder="1"/>
    <xf numFmtId="3" fontId="73" fillId="0" borderId="60" xfId="0" applyNumberFormat="1" applyFont="1" applyBorder="1"/>
    <xf numFmtId="3" fontId="73" fillId="0" borderId="24" xfId="0" applyNumberFormat="1" applyFont="1" applyBorder="1"/>
    <xf numFmtId="3" fontId="73" fillId="0" borderId="25" xfId="0" applyNumberFormat="1" applyFont="1" applyBorder="1"/>
    <xf numFmtId="3" fontId="73" fillId="0" borderId="58" xfId="0" applyNumberFormat="1" applyFont="1" applyBorder="1"/>
    <xf numFmtId="3" fontId="74" fillId="0" borderId="12" xfId="0" applyNumberFormat="1" applyFont="1" applyBorder="1"/>
    <xf numFmtId="0" fontId="74" fillId="4" borderId="72" xfId="0" applyFont="1" applyFill="1" applyBorder="1"/>
    <xf numFmtId="37" fontId="74" fillId="4" borderId="60" xfId="0" applyNumberFormat="1" applyFont="1" applyFill="1" applyBorder="1"/>
    <xf numFmtId="0" fontId="73" fillId="3" borderId="63" xfId="0" applyFont="1" applyFill="1" applyBorder="1"/>
    <xf numFmtId="0" fontId="82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0" fontId="71" fillId="0" borderId="1" xfId="0" applyFont="1" applyBorder="1"/>
    <xf numFmtId="0" fontId="73" fillId="0" borderId="89" xfId="0" applyFont="1" applyBorder="1" applyAlignment="1">
      <alignment horizontal="left"/>
    </xf>
    <xf numFmtId="0" fontId="74" fillId="0" borderId="9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/>
    </xf>
    <xf numFmtId="0" fontId="73" fillId="0" borderId="33" xfId="0" applyFont="1" applyBorder="1" applyAlignment="1">
      <alignment horizontal="center"/>
    </xf>
    <xf numFmtId="0" fontId="73" fillId="0" borderId="34" xfId="0" applyFont="1" applyBorder="1" applyAlignment="1">
      <alignment horizontal="center"/>
    </xf>
    <xf numFmtId="0" fontId="76" fillId="0" borderId="22" xfId="0" applyFont="1" applyBorder="1"/>
    <xf numFmtId="37" fontId="76" fillId="0" borderId="32" xfId="0" applyNumberFormat="1" applyFont="1" applyBorder="1"/>
    <xf numFmtId="37" fontId="76" fillId="0" borderId="33" xfId="0" applyNumberFormat="1" applyFont="1" applyBorder="1"/>
    <xf numFmtId="37" fontId="76" fillId="0" borderId="22" xfId="0" applyNumberFormat="1" applyFont="1" applyBorder="1"/>
    <xf numFmtId="171" fontId="76" fillId="0" borderId="22" xfId="0" applyNumberFormat="1" applyFont="1" applyBorder="1"/>
    <xf numFmtId="37" fontId="76" fillId="0" borderId="34" xfId="0" applyNumberFormat="1" applyFont="1" applyBorder="1"/>
    <xf numFmtId="171" fontId="76" fillId="0" borderId="60" xfId="0" applyNumberFormat="1" applyFont="1" applyBorder="1"/>
    <xf numFmtId="0" fontId="82" fillId="3" borderId="77" xfId="0" applyFont="1" applyFill="1" applyBorder="1"/>
    <xf numFmtId="171" fontId="82" fillId="3" borderId="60" xfId="0" applyNumberFormat="1" applyFont="1" applyFill="1" applyBorder="1"/>
    <xf numFmtId="0" fontId="82" fillId="0" borderId="72" xfId="0" applyFont="1" applyBorder="1"/>
    <xf numFmtId="0" fontId="76" fillId="0" borderId="1" xfId="0" applyFont="1" applyBorder="1"/>
    <xf numFmtId="37" fontId="76" fillId="0" borderId="39" xfId="0" applyNumberFormat="1" applyFont="1" applyBorder="1"/>
    <xf numFmtId="37" fontId="76" fillId="0" borderId="1" xfId="0" applyNumberFormat="1" applyFont="1" applyBorder="1"/>
    <xf numFmtId="171" fontId="76" fillId="0" borderId="1" xfId="0" applyNumberFormat="1" applyFont="1" applyBorder="1"/>
    <xf numFmtId="37" fontId="76" fillId="0" borderId="41" xfId="0" applyNumberFormat="1" applyFont="1" applyBorder="1"/>
    <xf numFmtId="0" fontId="76" fillId="0" borderId="1" xfId="0" applyFont="1" applyBorder="1" applyAlignment="1">
      <alignment horizontal="right"/>
    </xf>
    <xf numFmtId="172" fontId="76" fillId="0" borderId="1" xfId="0" applyNumberFormat="1" applyFont="1" applyBorder="1"/>
    <xf numFmtId="0" fontId="76" fillId="0" borderId="39" xfId="0" applyFont="1" applyBorder="1"/>
    <xf numFmtId="0" fontId="76" fillId="0" borderId="22" xfId="0" applyFont="1" applyBorder="1" applyAlignment="1">
      <alignment horizontal="right"/>
    </xf>
    <xf numFmtId="172" fontId="76" fillId="0" borderId="22" xfId="0" applyNumberFormat="1" applyFont="1" applyBorder="1"/>
    <xf numFmtId="0" fontId="76" fillId="0" borderId="33" xfId="0" applyFont="1" applyBorder="1"/>
    <xf numFmtId="171" fontId="76" fillId="0" borderId="32" xfId="0" applyNumberFormat="1" applyFont="1" applyBorder="1"/>
    <xf numFmtId="0" fontId="82" fillId="3" borderId="78" xfId="0" applyFont="1" applyFill="1" applyBorder="1"/>
    <xf numFmtId="0" fontId="76" fillId="0" borderId="24" xfId="0" applyFont="1" applyBorder="1" applyAlignment="1">
      <alignment horizontal="right"/>
    </xf>
    <xf numFmtId="0" fontId="76" fillId="0" borderId="24" xfId="0" applyFont="1" applyBorder="1"/>
    <xf numFmtId="0" fontId="76" fillId="0" borderId="38" xfId="0" applyFont="1" applyBorder="1"/>
    <xf numFmtId="172" fontId="76" fillId="0" borderId="24" xfId="0" applyNumberFormat="1" applyFont="1" applyBorder="1"/>
    <xf numFmtId="37" fontId="76" fillId="0" borderId="24" xfId="0" applyNumberFormat="1" applyFont="1" applyBorder="1"/>
    <xf numFmtId="171" fontId="76" fillId="0" borderId="24" xfId="0" applyNumberFormat="1" applyFont="1" applyBorder="1"/>
    <xf numFmtId="37" fontId="76" fillId="0" borderId="42" xfId="0" applyNumberFormat="1" applyFont="1" applyBorder="1"/>
    <xf numFmtId="171" fontId="76" fillId="0" borderId="37" xfId="0" applyNumberFormat="1" applyFont="1" applyBorder="1"/>
    <xf numFmtId="0" fontId="76" fillId="0" borderId="41" xfId="0" applyFont="1" applyBorder="1"/>
    <xf numFmtId="171" fontId="76" fillId="0" borderId="94" xfId="0" applyNumberFormat="1" applyFont="1" applyBorder="1"/>
    <xf numFmtId="37" fontId="76" fillId="0" borderId="51" xfId="0" applyNumberFormat="1" applyFont="1" applyBorder="1"/>
    <xf numFmtId="0" fontId="82" fillId="4" borderId="79" xfId="0" applyFont="1" applyFill="1" applyBorder="1"/>
    <xf numFmtId="171" fontId="76" fillId="0" borderId="85" xfId="0" applyNumberFormat="1" applyFont="1" applyBorder="1"/>
    <xf numFmtId="0" fontId="82" fillId="3" borderId="80" xfId="0" applyFont="1" applyFill="1" applyBorder="1"/>
    <xf numFmtId="0" fontId="82" fillId="3" borderId="66" xfId="0" applyFont="1" applyFill="1" applyBorder="1"/>
    <xf numFmtId="0" fontId="82" fillId="3" borderId="66" xfId="0" applyFont="1" applyFill="1" applyBorder="1" applyAlignment="1">
      <alignment horizontal="center"/>
    </xf>
    <xf numFmtId="171" fontId="82" fillId="3" borderId="66" xfId="0" applyNumberFormat="1" applyFont="1" applyFill="1" applyBorder="1"/>
    <xf numFmtId="37" fontId="82" fillId="3" borderId="95" xfId="0" applyNumberFormat="1" applyFont="1" applyFill="1" applyBorder="1"/>
    <xf numFmtId="37" fontId="82" fillId="3" borderId="96" xfId="0" applyNumberFormat="1" applyFont="1" applyFill="1" applyBorder="1"/>
    <xf numFmtId="0" fontId="82" fillId="3" borderId="96" xfId="0" applyFont="1" applyFill="1" applyBorder="1" applyAlignment="1">
      <alignment horizontal="center"/>
    </xf>
    <xf numFmtId="171" fontId="82" fillId="3" borderId="88" xfId="0" applyNumberFormat="1" applyFont="1" applyFill="1" applyBorder="1"/>
    <xf numFmtId="0" fontId="82" fillId="3" borderId="97" xfId="0" applyFont="1" applyFill="1" applyBorder="1"/>
    <xf numFmtId="0" fontId="82" fillId="3" borderId="98" xfId="0" applyFont="1" applyFill="1" applyBorder="1"/>
    <xf numFmtId="0" fontId="82" fillId="3" borderId="98" xfId="0" applyFont="1" applyFill="1" applyBorder="1" applyAlignment="1">
      <alignment horizontal="center"/>
    </xf>
    <xf numFmtId="171" fontId="82" fillId="3" borderId="98" xfId="0" applyNumberFormat="1" applyFont="1" applyFill="1" applyBorder="1"/>
    <xf numFmtId="37" fontId="82" fillId="3" borderId="99" xfId="0" applyNumberFormat="1" applyFont="1" applyFill="1" applyBorder="1"/>
    <xf numFmtId="37" fontId="82" fillId="3" borderId="98" xfId="0" applyNumberFormat="1" applyFont="1" applyFill="1" applyBorder="1"/>
    <xf numFmtId="37" fontId="82" fillId="3" borderId="100" xfId="0" applyNumberFormat="1" applyFont="1" applyFill="1" applyBorder="1"/>
    <xf numFmtId="37" fontId="82" fillId="3" borderId="101" xfId="0" applyNumberFormat="1" applyFont="1" applyFill="1" applyBorder="1"/>
    <xf numFmtId="37" fontId="82" fillId="3" borderId="90" xfId="0" applyNumberFormat="1" applyFont="1" applyFill="1" applyBorder="1"/>
    <xf numFmtId="171" fontId="82" fillId="3" borderId="93" xfId="0" applyNumberFormat="1" applyFont="1" applyFill="1" applyBorder="1"/>
    <xf numFmtId="0" fontId="81" fillId="0" borderId="72" xfId="0" applyFont="1" applyBorder="1"/>
    <xf numFmtId="0" fontId="81" fillId="0" borderId="41" xfId="0" applyFont="1" applyBorder="1"/>
    <xf numFmtId="0" fontId="81" fillId="0" borderId="57" xfId="0" applyFont="1" applyBorder="1"/>
    <xf numFmtId="0" fontId="71" fillId="0" borderId="41" xfId="0" applyFont="1" applyBorder="1"/>
    <xf numFmtId="171" fontId="82" fillId="3" borderId="83" xfId="0" applyNumberFormat="1" applyFont="1" applyFill="1" applyBorder="1"/>
    <xf numFmtId="171" fontId="104" fillId="0" borderId="12" xfId="1" applyNumberFormat="1" applyFont="1" applyFill="1" applyBorder="1"/>
    <xf numFmtId="3" fontId="104" fillId="0" borderId="57" xfId="0" applyNumberFormat="1" applyFont="1" applyBorder="1"/>
    <xf numFmtId="0" fontId="79" fillId="0" borderId="0" xfId="0" applyFont="1"/>
    <xf numFmtId="39" fontId="73" fillId="0" borderId="0" xfId="0" applyNumberFormat="1" applyFont="1"/>
    <xf numFmtId="0" fontId="70" fillId="0" borderId="1" xfId="0" applyFont="1" applyBorder="1"/>
    <xf numFmtId="0" fontId="80" fillId="0" borderId="0" xfId="0" applyFont="1"/>
    <xf numFmtId="171" fontId="73" fillId="0" borderId="0" xfId="0" applyNumberFormat="1" applyFont="1"/>
    <xf numFmtId="171" fontId="74" fillId="0" borderId="0" xfId="0" applyNumberFormat="1" applyFont="1"/>
    <xf numFmtId="37" fontId="71" fillId="0" borderId="1" xfId="0" applyNumberFormat="1" applyFont="1" applyBorder="1"/>
    <xf numFmtId="0" fontId="74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0" fillId="0" borderId="1" xfId="0" applyFont="1" applyBorder="1" applyAlignment="1">
      <alignment horizontal="center" vertical="center"/>
    </xf>
    <xf numFmtId="0" fontId="102" fillId="0" borderId="0" xfId="0" applyFont="1"/>
    <xf numFmtId="168" fontId="67" fillId="0" borderId="1" xfId="0" applyNumberFormat="1" applyFont="1" applyBorder="1"/>
    <xf numFmtId="168" fontId="69" fillId="0" borderId="1" xfId="0" applyNumberFormat="1" applyFont="1" applyBorder="1"/>
    <xf numFmtId="168" fontId="68" fillId="0" borderId="1" xfId="0" applyNumberFormat="1" applyFont="1" applyBorder="1"/>
    <xf numFmtId="0" fontId="68" fillId="0" borderId="1" xfId="0" applyFont="1" applyBorder="1"/>
    <xf numFmtId="171" fontId="82" fillId="3" borderId="102" xfId="0" applyNumberFormat="1" applyFont="1" applyFill="1" applyBorder="1"/>
    <xf numFmtId="0" fontId="73" fillId="0" borderId="103" xfId="0" applyFont="1" applyBorder="1"/>
    <xf numFmtId="3" fontId="101" fillId="0" borderId="13" xfId="0" applyNumberFormat="1" applyFont="1" applyBorder="1"/>
    <xf numFmtId="3" fontId="101" fillId="0" borderId="22" xfId="0" applyNumberFormat="1" applyFont="1" applyBorder="1"/>
    <xf numFmtId="0" fontId="105" fillId="0" borderId="0" xfId="0" applyFont="1" applyAlignment="1">
      <alignment horizontal="left" vertical="top"/>
    </xf>
    <xf numFmtId="0" fontId="104" fillId="0" borderId="72" xfId="0" applyFont="1" applyBorder="1"/>
    <xf numFmtId="0" fontId="102" fillId="9" borderId="1" xfId="0" applyFont="1" applyFill="1" applyBorder="1"/>
    <xf numFmtId="0" fontId="106" fillId="0" borderId="79" xfId="0" applyFont="1" applyBorder="1"/>
    <xf numFmtId="4" fontId="107" fillId="0" borderId="0" xfId="0" applyNumberFormat="1" applyFont="1" applyAlignment="1">
      <alignment horizontal="center" vertical="top"/>
    </xf>
    <xf numFmtId="3" fontId="99" fillId="0" borderId="15" xfId="0" applyNumberFormat="1" applyFont="1" applyBorder="1"/>
    <xf numFmtId="0" fontId="95" fillId="10" borderId="48" xfId="0" applyFont="1" applyFill="1" applyBorder="1" applyAlignment="1">
      <alignment horizontal="left" vertical="top"/>
    </xf>
    <xf numFmtId="49" fontId="95" fillId="0" borderId="49" xfId="0" applyNumberFormat="1" applyFont="1" applyBorder="1" applyAlignment="1">
      <alignment horizontal="left" vertical="top"/>
    </xf>
    <xf numFmtId="1" fontId="95" fillId="10" borderId="48" xfId="0" applyNumberFormat="1" applyFont="1" applyFill="1" applyBorder="1" applyAlignment="1">
      <alignment horizontal="left" vertical="top"/>
    </xf>
    <xf numFmtId="1" fontId="95" fillId="0" borderId="49" xfId="0" applyNumberFormat="1" applyFont="1" applyBorder="1" applyAlignment="1">
      <alignment horizontal="left" vertical="top"/>
    </xf>
    <xf numFmtId="39" fontId="94" fillId="0" borderId="49" xfId="0" applyNumberFormat="1" applyFont="1" applyBorder="1" applyAlignment="1">
      <alignment horizontal="left" vertical="top"/>
    </xf>
    <xf numFmtId="0" fontId="95" fillId="0" borderId="49" xfId="0" applyFont="1" applyBorder="1" applyAlignment="1">
      <alignment horizontal="left" vertical="top"/>
    </xf>
    <xf numFmtId="0" fontId="94" fillId="0" borderId="49" xfId="0" applyFont="1" applyBorder="1" applyAlignment="1">
      <alignment horizontal="left" vertical="top"/>
    </xf>
    <xf numFmtId="49" fontId="94" fillId="0" borderId="49" xfId="0" applyNumberFormat="1" applyFont="1" applyBorder="1" applyAlignment="1">
      <alignment horizontal="left" vertical="top"/>
    </xf>
    <xf numFmtId="39" fontId="94" fillId="10" borderId="48" xfId="0" applyNumberFormat="1" applyFont="1" applyFill="1" applyBorder="1" applyAlignment="1">
      <alignment horizontal="left" vertical="top"/>
    </xf>
    <xf numFmtId="49" fontId="94" fillId="10" borderId="48" xfId="0" applyNumberFormat="1" applyFont="1" applyFill="1" applyBorder="1" applyAlignment="1">
      <alignment horizontal="left" vertical="top"/>
    </xf>
    <xf numFmtId="39" fontId="94" fillId="10" borderId="44" xfId="0" applyNumberFormat="1" applyFont="1" applyFill="1" applyBorder="1" applyAlignment="1">
      <alignment horizontal="left" vertical="top"/>
    </xf>
    <xf numFmtId="0" fontId="63" fillId="0" borderId="104" xfId="0" applyFont="1" applyBorder="1"/>
    <xf numFmtId="168" fontId="108" fillId="0" borderId="52" xfId="0" applyNumberFormat="1" applyFont="1" applyBorder="1"/>
    <xf numFmtId="166" fontId="67" fillId="0" borderId="7" xfId="0" applyNumberFormat="1" applyFont="1" applyBorder="1"/>
    <xf numFmtId="166" fontId="68" fillId="3" borderId="9" xfId="0" applyNumberFormat="1" applyFont="1" applyFill="1" applyBorder="1"/>
    <xf numFmtId="166" fontId="68" fillId="3" borderId="11" xfId="0" applyNumberFormat="1" applyFont="1" applyFill="1" applyBorder="1"/>
    <xf numFmtId="166" fontId="69" fillId="0" borderId="5" xfId="0" applyNumberFormat="1" applyFont="1" applyBorder="1"/>
    <xf numFmtId="166" fontId="63" fillId="0" borderId="7" xfId="0" applyNumberFormat="1" applyFont="1" applyBorder="1"/>
    <xf numFmtId="166" fontId="67" fillId="0" borderId="53" xfId="0" applyNumberFormat="1" applyFont="1" applyBorder="1"/>
    <xf numFmtId="166" fontId="69" fillId="0" borderId="53" xfId="0" applyNumberFormat="1" applyFont="1" applyBorder="1"/>
    <xf numFmtId="166" fontId="67" fillId="0" borderId="3" xfId="0" applyNumberFormat="1" applyFont="1" applyBorder="1"/>
    <xf numFmtId="0" fontId="93" fillId="0" borderId="0" xfId="0" applyFont="1" applyAlignment="1">
      <alignment horizontal="center"/>
    </xf>
    <xf numFmtId="4" fontId="63" fillId="12" borderId="0" xfId="0" applyNumberFormat="1" applyFont="1" applyFill="1" applyAlignment="1">
      <alignment horizontal="center" vertical="top"/>
    </xf>
    <xf numFmtId="39" fontId="99" fillId="0" borderId="105" xfId="0" applyNumberFormat="1" applyFont="1" applyBorder="1"/>
    <xf numFmtId="167" fontId="91" fillId="0" borderId="0" xfId="0" applyNumberFormat="1" applyFont="1" applyAlignment="1">
      <alignment horizontal="center" vertical="top"/>
    </xf>
    <xf numFmtId="167" fontId="63" fillId="0" borderId="0" xfId="0" applyNumberFormat="1" applyFont="1" applyAlignment="1">
      <alignment horizontal="center" vertical="top"/>
    </xf>
    <xf numFmtId="167" fontId="107" fillId="0" borderId="0" xfId="0" applyNumberFormat="1" applyFont="1" applyAlignment="1">
      <alignment horizontal="center" vertical="top"/>
    </xf>
    <xf numFmtId="167" fontId="63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3" fillId="14" borderId="0" xfId="0" applyNumberFormat="1" applyFont="1" applyFill="1" applyAlignment="1">
      <alignment horizontal="left" vertical="top"/>
    </xf>
    <xf numFmtId="167" fontId="63" fillId="14" borderId="0" xfId="0" applyNumberFormat="1" applyFont="1" applyFill="1" applyAlignment="1">
      <alignment horizontal="center" vertical="top"/>
    </xf>
    <xf numFmtId="4" fontId="63" fillId="14" borderId="0" xfId="0" applyNumberFormat="1" applyFont="1" applyFill="1" applyAlignment="1">
      <alignment horizontal="center" vertical="top"/>
    </xf>
    <xf numFmtId="37" fontId="74" fillId="3" borderId="17" xfId="0" applyNumberFormat="1" applyFont="1" applyFill="1" applyBorder="1"/>
    <xf numFmtId="0" fontId="73" fillId="3" borderId="20" xfId="0" applyFont="1" applyFill="1" applyBorder="1"/>
    <xf numFmtId="0" fontId="61" fillId="0" borderId="1" xfId="2"/>
    <xf numFmtId="0" fontId="109" fillId="0" borderId="1" xfId="2" applyFont="1" applyAlignment="1">
      <alignment horizontal="center"/>
    </xf>
    <xf numFmtId="0" fontId="109" fillId="0" borderId="1" xfId="2" applyFont="1"/>
    <xf numFmtId="0" fontId="110" fillId="0" borderId="1" xfId="2" applyFont="1"/>
    <xf numFmtId="170" fontId="111" fillId="0" borderId="1" xfId="2" applyNumberFormat="1" applyFont="1" applyAlignment="1">
      <alignment horizontal="left"/>
    </xf>
    <xf numFmtId="0" fontId="111" fillId="0" borderId="1" xfId="2" applyFont="1"/>
    <xf numFmtId="0" fontId="112" fillId="0" borderId="1" xfId="2" applyFont="1"/>
    <xf numFmtId="0" fontId="99" fillId="0" borderId="1" xfId="2" applyFont="1"/>
    <xf numFmtId="0" fontId="113" fillId="0" borderId="1" xfId="2" applyFont="1"/>
    <xf numFmtId="0" fontId="114" fillId="0" borderId="1" xfId="2" applyFont="1"/>
    <xf numFmtId="0" fontId="115" fillId="0" borderId="1" xfId="2" applyFont="1"/>
    <xf numFmtId="0" fontId="117" fillId="15" borderId="1" xfId="2" applyFont="1" applyFill="1"/>
    <xf numFmtId="0" fontId="115" fillId="15" borderId="1" xfId="2" applyFont="1" applyFill="1"/>
    <xf numFmtId="0" fontId="118" fillId="15" borderId="1" xfId="2" applyFont="1" applyFill="1"/>
    <xf numFmtId="0" fontId="119" fillId="15" borderId="1" xfId="2" applyFont="1" applyFill="1" applyAlignment="1">
      <alignment horizontal="centerContinuous" vertical="center"/>
    </xf>
    <xf numFmtId="0" fontId="115" fillId="15" borderId="1" xfId="2" applyFont="1" applyFill="1" applyAlignment="1">
      <alignment horizontal="centerContinuous" vertical="center"/>
    </xf>
    <xf numFmtId="0" fontId="117" fillId="15" borderId="1" xfId="2" applyFont="1" applyFill="1" applyAlignment="1">
      <alignment horizontal="centerContinuous"/>
    </xf>
    <xf numFmtId="0" fontId="115" fillId="15" borderId="1" xfId="2" applyFont="1" applyFill="1" applyAlignment="1">
      <alignment horizontal="centerContinuous"/>
    </xf>
    <xf numFmtId="0" fontId="120" fillId="15" borderId="1" xfId="2" applyFont="1" applyFill="1" applyAlignment="1">
      <alignment horizontal="center"/>
    </xf>
    <xf numFmtId="171" fontId="115" fillId="15" borderId="1" xfId="2" applyNumberFormat="1" applyFont="1" applyFill="1"/>
    <xf numFmtId="37" fontId="115" fillId="15" borderId="1" xfId="2" applyNumberFormat="1" applyFont="1" applyFill="1"/>
    <xf numFmtId="171" fontId="117" fillId="15" borderId="1" xfId="2" applyNumberFormat="1" applyFont="1" applyFill="1"/>
    <xf numFmtId="37" fontId="117" fillId="15" borderId="1" xfId="2" applyNumberFormat="1" applyFont="1" applyFill="1"/>
    <xf numFmtId="0" fontId="121" fillId="15" borderId="1" xfId="2" applyFont="1" applyFill="1"/>
    <xf numFmtId="0" fontId="120" fillId="15" borderId="1" xfId="2" applyFont="1" applyFill="1" applyAlignment="1">
      <alignment horizontal="centerContinuous"/>
    </xf>
    <xf numFmtId="0" fontId="120" fillId="15" borderId="1" xfId="2" applyFont="1" applyFill="1" applyAlignment="1">
      <alignment horizontal="left"/>
    </xf>
    <xf numFmtId="0" fontId="122" fillId="15" borderId="1" xfId="2" applyFont="1" applyFill="1" applyProtection="1">
      <protection locked="0"/>
    </xf>
    <xf numFmtId="0" fontId="115" fillId="15" borderId="1" xfId="2" applyFont="1" applyFill="1" applyAlignment="1">
      <alignment horizontal="center"/>
    </xf>
    <xf numFmtId="0" fontId="123" fillId="15" borderId="1" xfId="2" applyFont="1" applyFill="1" applyAlignment="1">
      <alignment horizontal="centerContinuous"/>
    </xf>
    <xf numFmtId="0" fontId="117" fillId="15" borderId="1" xfId="2" applyFont="1" applyFill="1" applyAlignment="1">
      <alignment horizontal="left"/>
    </xf>
    <xf numFmtId="0" fontId="61" fillId="0" borderId="1" xfId="2" applyAlignment="1">
      <alignment horizontal="center"/>
    </xf>
    <xf numFmtId="0" fontId="124" fillId="0" borderId="1" xfId="2" applyFont="1" applyAlignment="1">
      <alignment horizontal="center"/>
    </xf>
    <xf numFmtId="0" fontId="109" fillId="12" borderId="56" xfId="2" applyFont="1" applyFill="1" applyBorder="1" applyAlignment="1">
      <alignment horizontal="center"/>
    </xf>
    <xf numFmtId="0" fontId="112" fillId="0" borderId="1" xfId="2" applyFont="1" applyAlignment="1">
      <alignment horizontal="center"/>
    </xf>
    <xf numFmtId="0" fontId="72" fillId="0" borderId="0" xfId="0" applyFont="1" applyAlignment="1">
      <alignment horizontal="center"/>
    </xf>
    <xf numFmtId="171" fontId="73" fillId="0" borderId="1" xfId="1" applyNumberFormat="1" applyFont="1" applyFill="1" applyBorder="1"/>
    <xf numFmtId="171" fontId="74" fillId="0" borderId="9" xfId="0" applyNumberFormat="1" applyFont="1" applyBorder="1"/>
    <xf numFmtId="3" fontId="73" fillId="0" borderId="22" xfId="0" applyNumberFormat="1" applyFont="1" applyBorder="1" applyAlignment="1">
      <alignment horizontal="right"/>
    </xf>
    <xf numFmtId="0" fontId="125" fillId="0" borderId="0" xfId="0" applyFont="1"/>
    <xf numFmtId="0" fontId="75" fillId="0" borderId="0" xfId="0" applyFont="1"/>
    <xf numFmtId="3" fontId="73" fillId="0" borderId="166" xfId="0" applyNumberFormat="1" applyFont="1" applyBorder="1"/>
    <xf numFmtId="3" fontId="73" fillId="0" borderId="167" xfId="0" applyNumberFormat="1" applyFont="1" applyBorder="1"/>
    <xf numFmtId="3" fontId="73" fillId="0" borderId="168" xfId="0" applyNumberFormat="1" applyFont="1" applyBorder="1"/>
    <xf numFmtId="0" fontId="126" fillId="0" borderId="0" xfId="0" applyFont="1"/>
    <xf numFmtId="0" fontId="99" fillId="0" borderId="110" xfId="0" applyFont="1" applyBorder="1"/>
    <xf numFmtId="171" fontId="82" fillId="3" borderId="59" xfId="0" applyNumberFormat="1" applyFont="1" applyFill="1" applyBorder="1"/>
    <xf numFmtId="0" fontId="60" fillId="0" borderId="1" xfId="3"/>
    <xf numFmtId="0" fontId="127" fillId="0" borderId="171" xfId="3" applyFont="1" applyBorder="1"/>
    <xf numFmtId="0" fontId="60" fillId="0" borderId="171" xfId="3" applyBorder="1"/>
    <xf numFmtId="0" fontId="60" fillId="0" borderId="171" xfId="3" applyBorder="1" applyAlignment="1">
      <alignment horizontal="left" indent="1"/>
    </xf>
    <xf numFmtId="0" fontId="127" fillId="0" borderId="187" xfId="3" applyFont="1" applyBorder="1"/>
    <xf numFmtId="0" fontId="127" fillId="16" borderId="169" xfId="3" applyFont="1" applyFill="1" applyBorder="1" applyAlignment="1">
      <alignment horizontal="center"/>
    </xf>
    <xf numFmtId="0" fontId="127" fillId="16" borderId="176" xfId="3" applyFont="1" applyFill="1" applyBorder="1" applyAlignment="1">
      <alignment horizontal="center"/>
    </xf>
    <xf numFmtId="0" fontId="127" fillId="16" borderId="177" xfId="3" applyFont="1" applyFill="1" applyBorder="1" applyAlignment="1">
      <alignment horizontal="center"/>
    </xf>
    <xf numFmtId="0" fontId="127" fillId="16" borderId="170" xfId="3" applyFont="1" applyFill="1" applyBorder="1" applyAlignment="1">
      <alignment horizontal="center"/>
    </xf>
    <xf numFmtId="0" fontId="127" fillId="17" borderId="169" xfId="3" applyFont="1" applyFill="1" applyBorder="1" applyAlignment="1">
      <alignment horizontal="center"/>
    </xf>
    <xf numFmtId="0" fontId="127" fillId="17" borderId="176" xfId="3" applyFont="1" applyFill="1" applyBorder="1" applyAlignment="1">
      <alignment horizontal="center"/>
    </xf>
    <xf numFmtId="0" fontId="127" fillId="17" borderId="177" xfId="3" applyFont="1" applyFill="1" applyBorder="1" applyAlignment="1">
      <alignment horizontal="center"/>
    </xf>
    <xf numFmtId="0" fontId="127" fillId="17" borderId="178" xfId="3" applyFont="1" applyFill="1" applyBorder="1" applyAlignment="1">
      <alignment horizontal="center"/>
    </xf>
    <xf numFmtId="0" fontId="127" fillId="17" borderId="170" xfId="3" applyFont="1" applyFill="1" applyBorder="1" applyAlignment="1">
      <alignment horizontal="center"/>
    </xf>
    <xf numFmtId="0" fontId="60" fillId="0" borderId="1" xfId="3" applyAlignment="1">
      <alignment horizontal="center"/>
    </xf>
    <xf numFmtId="0" fontId="127" fillId="11" borderId="169" xfId="3" applyFont="1" applyFill="1" applyBorder="1" applyAlignment="1">
      <alignment horizontal="center"/>
    </xf>
    <xf numFmtId="0" fontId="127" fillId="11" borderId="176" xfId="3" applyFont="1" applyFill="1" applyBorder="1" applyAlignment="1">
      <alignment horizontal="center"/>
    </xf>
    <xf numFmtId="0" fontId="127" fillId="11" borderId="177" xfId="3" applyFont="1" applyFill="1" applyBorder="1" applyAlignment="1">
      <alignment horizontal="center"/>
    </xf>
    <xf numFmtId="0" fontId="127" fillId="11" borderId="170" xfId="3" applyFont="1" applyFill="1" applyBorder="1" applyAlignment="1">
      <alignment horizontal="center"/>
    </xf>
    <xf numFmtId="37" fontId="127" fillId="0" borderId="179" xfId="3" applyNumberFormat="1" applyFont="1" applyBorder="1" applyAlignment="1">
      <alignment horizontal="center"/>
    </xf>
    <xf numFmtId="1" fontId="127" fillId="0" borderId="180" xfId="3" applyNumberFormat="1" applyFont="1" applyBorder="1" applyAlignment="1">
      <alignment horizontal="center"/>
    </xf>
    <xf numFmtId="1" fontId="127" fillId="0" borderId="172" xfId="3" applyNumberFormat="1" applyFont="1" applyBorder="1" applyAlignment="1">
      <alignment horizontal="center"/>
    </xf>
    <xf numFmtId="167" fontId="127" fillId="0" borderId="179" xfId="3" applyNumberFormat="1" applyFont="1" applyBorder="1" applyAlignment="1">
      <alignment horizontal="center"/>
    </xf>
    <xf numFmtId="167" fontId="127" fillId="0" borderId="180" xfId="3" applyNumberFormat="1" applyFont="1" applyBorder="1" applyAlignment="1">
      <alignment horizontal="center"/>
    </xf>
    <xf numFmtId="167" fontId="127" fillId="0" borderId="172" xfId="3" applyNumberFormat="1" applyFont="1" applyBorder="1" applyAlignment="1">
      <alignment horizontal="center"/>
    </xf>
    <xf numFmtId="0" fontId="60" fillId="0" borderId="174" xfId="3" applyBorder="1"/>
    <xf numFmtId="0" fontId="127" fillId="18" borderId="169" xfId="3" applyFont="1" applyFill="1" applyBorder="1" applyAlignment="1">
      <alignment horizontal="center"/>
    </xf>
    <xf numFmtId="0" fontId="127" fillId="18" borderId="176" xfId="3" applyFont="1" applyFill="1" applyBorder="1" applyAlignment="1">
      <alignment horizontal="center"/>
    </xf>
    <xf numFmtId="0" fontId="127" fillId="18" borderId="177" xfId="3" applyFont="1" applyFill="1" applyBorder="1" applyAlignment="1">
      <alignment horizontal="center"/>
    </xf>
    <xf numFmtId="0" fontId="127" fillId="18" borderId="170" xfId="3" applyFont="1" applyFill="1" applyBorder="1" applyAlignment="1">
      <alignment horizontal="center"/>
    </xf>
    <xf numFmtId="0" fontId="127" fillId="0" borderId="171" xfId="3" applyFont="1" applyBorder="1" applyAlignment="1">
      <alignment horizontal="left"/>
    </xf>
    <xf numFmtId="0" fontId="127" fillId="19" borderId="169" xfId="3" applyFont="1" applyFill="1" applyBorder="1" applyAlignment="1">
      <alignment horizontal="center"/>
    </xf>
    <xf numFmtId="0" fontId="127" fillId="19" borderId="176" xfId="3" applyFont="1" applyFill="1" applyBorder="1" applyAlignment="1">
      <alignment horizontal="center"/>
    </xf>
    <xf numFmtId="0" fontId="127" fillId="19" borderId="177" xfId="3" applyFont="1" applyFill="1" applyBorder="1" applyAlignment="1">
      <alignment horizontal="center"/>
    </xf>
    <xf numFmtId="0" fontId="127" fillId="19" borderId="170" xfId="3" applyFont="1" applyFill="1" applyBorder="1" applyAlignment="1">
      <alignment horizontal="center"/>
    </xf>
    <xf numFmtId="0" fontId="76" fillId="0" borderId="103" xfId="0" applyFont="1" applyBorder="1"/>
    <xf numFmtId="0" fontId="76" fillId="0" borderId="191" xfId="0" applyFont="1" applyBorder="1"/>
    <xf numFmtId="0" fontId="76" fillId="0" borderId="56" xfId="0" applyFont="1" applyBorder="1" applyAlignment="1">
      <alignment horizontal="right"/>
    </xf>
    <xf numFmtId="0" fontId="76" fillId="0" borderId="56" xfId="0" applyFont="1" applyBorder="1"/>
    <xf numFmtId="37" fontId="76" fillId="0" borderId="192" xfId="0" applyNumberFormat="1" applyFont="1" applyBorder="1"/>
    <xf numFmtId="0" fontId="76" fillId="0" borderId="193" xfId="0" applyFont="1" applyBorder="1"/>
    <xf numFmtId="172" fontId="76" fillId="0" borderId="56" xfId="0" applyNumberFormat="1" applyFont="1" applyBorder="1"/>
    <xf numFmtId="37" fontId="76" fillId="0" borderId="193" xfId="0" applyNumberFormat="1" applyFont="1" applyBorder="1"/>
    <xf numFmtId="37" fontId="76" fillId="0" borderId="56" xfId="0" applyNumberFormat="1" applyFont="1" applyBorder="1"/>
    <xf numFmtId="171" fontId="76" fillId="0" borderId="56" xfId="0" applyNumberFormat="1" applyFont="1" applyBorder="1"/>
    <xf numFmtId="37" fontId="76" fillId="0" borderId="194" xfId="0" applyNumberFormat="1" applyFont="1" applyBorder="1"/>
    <xf numFmtId="171" fontId="76" fillId="0" borderId="195" xfId="0" applyNumberFormat="1" applyFont="1" applyBorder="1"/>
    <xf numFmtId="0" fontId="0" fillId="12" borderId="0" xfId="0" applyFill="1"/>
    <xf numFmtId="49" fontId="58" fillId="12" borderId="1" xfId="6" applyNumberFormat="1" applyFill="1" applyAlignment="1">
      <alignment horizontal="left" vertical="center"/>
    </xf>
    <xf numFmtId="174" fontId="58" fillId="12" borderId="1" xfId="6" applyNumberFormat="1" applyFill="1" applyAlignment="1">
      <alignment horizontal="right" vertical="center"/>
    </xf>
    <xf numFmtId="0" fontId="58" fillId="12" borderId="1" xfId="6" applyFill="1"/>
    <xf numFmtId="0" fontId="99" fillId="0" borderId="109" xfId="0" applyFont="1" applyBorder="1"/>
    <xf numFmtId="0" fontId="100" fillId="0" borderId="109" xfId="0" applyFont="1" applyBorder="1"/>
    <xf numFmtId="0" fontId="99" fillId="0" borderId="0" xfId="0" applyFont="1"/>
    <xf numFmtId="0" fontId="100" fillId="20" borderId="118" xfId="0" applyFont="1" applyFill="1" applyBorder="1"/>
    <xf numFmtId="0" fontId="100" fillId="20" borderId="121" xfId="0" applyFont="1" applyFill="1" applyBorder="1"/>
    <xf numFmtId="0" fontId="100" fillId="15" borderId="110" xfId="0" applyFont="1" applyFill="1" applyBorder="1"/>
    <xf numFmtId="0" fontId="100" fillId="0" borderId="110" xfId="0" applyFont="1" applyBorder="1" applyAlignment="1">
      <alignment horizontal="left"/>
    </xf>
    <xf numFmtId="0" fontId="99" fillId="0" borderId="112" xfId="0" applyFont="1" applyBorder="1"/>
    <xf numFmtId="0" fontId="100" fillId="20" borderId="124" xfId="0" applyFont="1" applyFill="1" applyBorder="1"/>
    <xf numFmtId="0" fontId="100" fillId="20" borderId="127" xfId="0" applyFont="1" applyFill="1" applyBorder="1"/>
    <xf numFmtId="0" fontId="100" fillId="20" borderId="129" xfId="0" applyFont="1" applyFill="1" applyBorder="1"/>
    <xf numFmtId="0" fontId="99" fillId="15" borderId="112" xfId="0" applyFont="1" applyFill="1" applyBorder="1"/>
    <xf numFmtId="0" fontId="100" fillId="20" borderId="133" xfId="0" applyFont="1" applyFill="1" applyBorder="1"/>
    <xf numFmtId="0" fontId="113" fillId="0" borderId="0" xfId="0" applyFont="1"/>
    <xf numFmtId="0" fontId="111" fillId="0" borderId="0" xfId="0" applyFont="1"/>
    <xf numFmtId="0" fontId="110" fillId="0" borderId="0" xfId="0" applyFont="1"/>
    <xf numFmtId="170" fontId="111" fillId="0" borderId="0" xfId="0" applyNumberFormat="1" applyFont="1" applyAlignment="1">
      <alignment horizontal="left"/>
    </xf>
    <xf numFmtId="0" fontId="100" fillId="0" borderId="110" xfId="0" applyFont="1" applyBorder="1"/>
    <xf numFmtId="0" fontId="100" fillId="0" borderId="0" xfId="0" applyFont="1"/>
    <xf numFmtId="0" fontId="100" fillId="15" borderId="118" xfId="0" applyFont="1" applyFill="1" applyBorder="1"/>
    <xf numFmtId="0" fontId="100" fillId="15" borderId="112" xfId="0" applyFont="1" applyFill="1" applyBorder="1"/>
    <xf numFmtId="0" fontId="100" fillId="15" borderId="109" xfId="0" applyFont="1" applyFill="1" applyBorder="1"/>
    <xf numFmtId="0" fontId="99" fillId="15" borderId="110" xfId="0" applyFont="1" applyFill="1" applyBorder="1"/>
    <xf numFmtId="0" fontId="103" fillId="0" borderId="110" xfId="0" applyFont="1" applyBorder="1"/>
    <xf numFmtId="0" fontId="100" fillId="20" borderId="139" xfId="0" applyFont="1" applyFill="1" applyBorder="1"/>
    <xf numFmtId="0" fontId="100" fillId="20" borderId="140" xfId="0" applyFont="1" applyFill="1" applyBorder="1"/>
    <xf numFmtId="0" fontId="103" fillId="0" borderId="112" xfId="0" applyFont="1" applyBorder="1"/>
    <xf numFmtId="0" fontId="103" fillId="15" borderId="110" xfId="0" applyFont="1" applyFill="1" applyBorder="1"/>
    <xf numFmtId="0" fontId="103" fillId="0" borderId="109" xfId="0" applyFont="1" applyBorder="1"/>
    <xf numFmtId="0" fontId="103" fillId="0" borderId="138" xfId="0" applyFont="1" applyBorder="1"/>
    <xf numFmtId="0" fontId="100" fillId="20" borderId="143" xfId="0" applyFont="1" applyFill="1" applyBorder="1"/>
    <xf numFmtId="0" fontId="116" fillId="0" borderId="1" xfId="0" applyFont="1" applyBorder="1" applyAlignment="1">
      <alignment horizontal="centerContinuous" vertical="center"/>
    </xf>
    <xf numFmtId="0" fontId="99" fillId="0" borderId="147" xfId="0" applyFont="1" applyBorder="1"/>
    <xf numFmtId="0" fontId="103" fillId="0" borderId="147" xfId="0" applyFont="1" applyBorder="1"/>
    <xf numFmtId="0" fontId="116" fillId="20" borderId="147" xfId="0" applyFont="1" applyFill="1" applyBorder="1"/>
    <xf numFmtId="0" fontId="116" fillId="0" borderId="72" xfId="0" applyFont="1" applyBorder="1"/>
    <xf numFmtId="0" fontId="103" fillId="0" borderId="72" xfId="0" applyFont="1" applyBorder="1"/>
    <xf numFmtId="0" fontId="99" fillId="0" borderId="72" xfId="0" applyFont="1" applyBorder="1"/>
    <xf numFmtId="0" fontId="116" fillId="20" borderId="149" xfId="0" applyFont="1" applyFill="1" applyBorder="1"/>
    <xf numFmtId="0" fontId="103" fillId="15" borderId="72" xfId="0" applyFont="1" applyFill="1" applyBorder="1"/>
    <xf numFmtId="0" fontId="103" fillId="0" borderId="151" xfId="0" applyFont="1" applyBorder="1"/>
    <xf numFmtId="0" fontId="116" fillId="15" borderId="151" xfId="0" applyFont="1" applyFill="1" applyBorder="1"/>
    <xf numFmtId="0" fontId="116" fillId="20" borderId="153" xfId="0" applyFont="1" applyFill="1" applyBorder="1"/>
    <xf numFmtId="0" fontId="116" fillId="20" borderId="156" xfId="0" applyFont="1" applyFill="1" applyBorder="1"/>
    <xf numFmtId="0" fontId="115" fillId="0" borderId="160" xfId="0" applyFont="1" applyBorder="1"/>
    <xf numFmtId="0" fontId="103" fillId="0" borderId="160" xfId="0" applyFont="1" applyBorder="1"/>
    <xf numFmtId="0" fontId="99" fillId="0" borderId="160" xfId="0" applyFont="1" applyBorder="1"/>
    <xf numFmtId="0" fontId="99" fillId="0" borderId="161" xfId="0" applyFont="1" applyBorder="1"/>
    <xf numFmtId="0" fontId="116" fillId="20" borderId="162" xfId="0" applyFont="1" applyFill="1" applyBorder="1"/>
    <xf numFmtId="1" fontId="95" fillId="10" borderId="0" xfId="0" applyNumberFormat="1" applyFont="1" applyFill="1" applyAlignment="1">
      <alignment horizontal="left" vertical="top"/>
    </xf>
    <xf numFmtId="49" fontId="94" fillId="10" borderId="45" xfId="0" applyNumberFormat="1" applyFont="1" applyFill="1" applyBorder="1" applyAlignment="1">
      <alignment horizontal="left" vertical="top"/>
    </xf>
    <xf numFmtId="0" fontId="100" fillId="0" borderId="116" xfId="0" applyFont="1" applyBorder="1"/>
    <xf numFmtId="0" fontId="100" fillId="0" borderId="112" xfId="0" applyFont="1" applyBorder="1"/>
    <xf numFmtId="0" fontId="99" fillId="15" borderId="138" xfId="0" applyFont="1" applyFill="1" applyBorder="1"/>
    <xf numFmtId="49" fontId="56" fillId="12" borderId="1" xfId="8" applyNumberFormat="1" applyFill="1" applyAlignment="1">
      <alignment horizontal="left" vertical="center"/>
    </xf>
    <xf numFmtId="174" fontId="56" fillId="12" borderId="1" xfId="8" applyNumberFormat="1" applyFill="1" applyAlignment="1">
      <alignment horizontal="right" vertical="center"/>
    </xf>
    <xf numFmtId="0" fontId="56" fillId="12" borderId="1" xfId="8" applyFill="1"/>
    <xf numFmtId="0" fontId="100" fillId="0" borderId="106" xfId="0" applyFont="1" applyBorder="1" applyAlignment="1">
      <alignment horizontal="center"/>
    </xf>
    <xf numFmtId="0" fontId="100" fillId="0" borderId="146" xfId="0" applyFont="1" applyBorder="1" applyAlignment="1">
      <alignment horizontal="center"/>
    </xf>
    <xf numFmtId="49" fontId="129" fillId="12" borderId="1" xfId="9" applyNumberFormat="1" applyFont="1" applyFill="1" applyAlignment="1">
      <alignment horizontal="left" vertical="center"/>
    </xf>
    <xf numFmtId="174" fontId="129" fillId="12" borderId="1" xfId="9" applyNumberFormat="1" applyFont="1" applyFill="1" applyAlignment="1">
      <alignment horizontal="right" vertical="center"/>
    </xf>
    <xf numFmtId="49" fontId="55" fillId="12" borderId="1" xfId="9" applyNumberFormat="1" applyFill="1" applyAlignment="1">
      <alignment horizontal="left" vertical="center"/>
    </xf>
    <xf numFmtId="174" fontId="55" fillId="12" borderId="1" xfId="9" applyNumberFormat="1" applyFill="1" applyAlignment="1">
      <alignment horizontal="right" vertical="center"/>
    </xf>
    <xf numFmtId="0" fontId="55" fillId="12" borderId="1" xfId="9" applyFill="1"/>
    <xf numFmtId="49" fontId="94" fillId="0" borderId="44" xfId="0" applyNumberFormat="1" applyFont="1" applyBorder="1" applyAlignment="1">
      <alignment horizontal="left" vertical="top"/>
    </xf>
    <xf numFmtId="0" fontId="62" fillId="0" borderId="0" xfId="0" applyFont="1" applyAlignment="1">
      <alignment horizontal="center"/>
    </xf>
    <xf numFmtId="167" fontId="63" fillId="0" borderId="1" xfId="0" applyNumberFormat="1" applyFont="1" applyBorder="1" applyAlignment="1">
      <alignment horizontal="center"/>
    </xf>
    <xf numFmtId="0" fontId="130" fillId="0" borderId="0" xfId="0" applyFont="1"/>
    <xf numFmtId="0" fontId="130" fillId="0" borderId="0" xfId="0" applyFont="1" applyAlignment="1">
      <alignment horizontal="center"/>
    </xf>
    <xf numFmtId="0" fontId="95" fillId="10" borderId="48" xfId="0" quotePrefix="1" applyFont="1" applyFill="1" applyBorder="1" applyAlignment="1">
      <alignment horizontal="left" vertical="top"/>
    </xf>
    <xf numFmtId="0" fontId="131" fillId="0" borderId="0" xfId="0" applyFont="1" applyAlignment="1">
      <alignment horizontal="center"/>
    </xf>
    <xf numFmtId="0" fontId="131" fillId="0" borderId="0" xfId="0" applyFont="1"/>
    <xf numFmtId="2" fontId="74" fillId="0" borderId="15" xfId="0" applyNumberFormat="1" applyFont="1" applyBorder="1"/>
    <xf numFmtId="167" fontId="54" fillId="0" borderId="179" xfId="3" applyNumberFormat="1" applyFont="1" applyBorder="1" applyAlignment="1">
      <alignment horizontal="center"/>
    </xf>
    <xf numFmtId="167" fontId="54" fillId="0" borderId="180" xfId="3" applyNumberFormat="1" applyFont="1" applyBorder="1" applyAlignment="1">
      <alignment horizontal="center"/>
    </xf>
    <xf numFmtId="167" fontId="54" fillId="0" borderId="172" xfId="3" applyNumberFormat="1" applyFont="1" applyBorder="1" applyAlignment="1">
      <alignment horizontal="center"/>
    </xf>
    <xf numFmtId="9" fontId="54" fillId="0" borderId="180" xfId="4" applyFont="1" applyBorder="1" applyAlignment="1">
      <alignment horizontal="center"/>
    </xf>
    <xf numFmtId="9" fontId="54" fillId="0" borderId="181" xfId="4" applyFont="1" applyBorder="1" applyAlignment="1">
      <alignment horizontal="center"/>
    </xf>
    <xf numFmtId="9" fontId="54" fillId="0" borderId="179" xfId="4" applyFont="1" applyFill="1" applyBorder="1" applyAlignment="1">
      <alignment horizontal="center"/>
    </xf>
    <xf numFmtId="9" fontId="54" fillId="0" borderId="172" xfId="4" applyFont="1" applyBorder="1" applyAlignment="1">
      <alignment horizontal="center"/>
    </xf>
    <xf numFmtId="0" fontId="54" fillId="0" borderId="188" xfId="3" applyFont="1" applyBorder="1"/>
    <xf numFmtId="167" fontId="54" fillId="0" borderId="189" xfId="3" applyNumberFormat="1" applyFont="1" applyBorder="1" applyAlignment="1">
      <alignment horizontal="center"/>
    </xf>
    <xf numFmtId="167" fontId="54" fillId="0" borderId="190" xfId="3" applyNumberFormat="1" applyFont="1" applyBorder="1" applyAlignment="1">
      <alignment horizontal="center"/>
    </xf>
    <xf numFmtId="9" fontId="54" fillId="0" borderId="189" xfId="4" applyFont="1" applyBorder="1" applyAlignment="1">
      <alignment horizontal="center"/>
    </xf>
    <xf numFmtId="167" fontId="54" fillId="0" borderId="185" xfId="3" applyNumberFormat="1" applyFont="1" applyBorder="1" applyAlignment="1">
      <alignment horizontal="center"/>
    </xf>
    <xf numFmtId="167" fontId="54" fillId="0" borderId="175" xfId="3" applyNumberFormat="1" applyFont="1" applyBorder="1" applyAlignment="1">
      <alignment horizontal="center"/>
    </xf>
    <xf numFmtId="9" fontId="54" fillId="0" borderId="185" xfId="4" applyFont="1" applyBorder="1" applyAlignment="1">
      <alignment horizontal="center"/>
    </xf>
    <xf numFmtId="0" fontId="54" fillId="0" borderId="1" xfId="3" applyFont="1"/>
    <xf numFmtId="167" fontId="54" fillId="0" borderId="179" xfId="4" applyNumberFormat="1" applyFont="1" applyFill="1" applyBorder="1" applyAlignment="1">
      <alignment horizontal="center"/>
    </xf>
    <xf numFmtId="167" fontId="54" fillId="0" borderId="184" xfId="3" applyNumberFormat="1" applyFont="1" applyBorder="1" applyAlignment="1">
      <alignment horizontal="center"/>
    </xf>
    <xf numFmtId="0" fontId="54" fillId="0" borderId="171" xfId="3" applyFont="1" applyBorder="1" applyAlignment="1">
      <alignment horizontal="left" indent="1"/>
    </xf>
    <xf numFmtId="0" fontId="54" fillId="0" borderId="171" xfId="3" applyFont="1" applyBorder="1" applyAlignment="1">
      <alignment horizontal="left"/>
    </xf>
    <xf numFmtId="9" fontId="54" fillId="0" borderId="179" xfId="1" applyFont="1" applyBorder="1" applyAlignment="1">
      <alignment horizontal="center"/>
    </xf>
    <xf numFmtId="0" fontId="54" fillId="0" borderId="174" xfId="3" applyFont="1" applyBorder="1" applyAlignment="1">
      <alignment horizontal="left"/>
    </xf>
    <xf numFmtId="0" fontId="127" fillId="21" borderId="169" xfId="3" applyFont="1" applyFill="1" applyBorder="1" applyAlignment="1">
      <alignment horizontal="center"/>
    </xf>
    <xf numFmtId="0" fontId="127" fillId="21" borderId="176" xfId="3" applyFont="1" applyFill="1" applyBorder="1" applyAlignment="1">
      <alignment horizontal="center"/>
    </xf>
    <xf numFmtId="0" fontId="127" fillId="21" borderId="177" xfId="3" applyFont="1" applyFill="1" applyBorder="1" applyAlignment="1">
      <alignment horizontal="center"/>
    </xf>
    <xf numFmtId="0" fontId="127" fillId="21" borderId="170" xfId="3" applyFont="1" applyFill="1" applyBorder="1" applyAlignment="1">
      <alignment horizontal="center"/>
    </xf>
    <xf numFmtId="0" fontId="60" fillId="0" borderId="171" xfId="3" applyBorder="1" applyAlignment="1">
      <alignment horizontal="left"/>
    </xf>
    <xf numFmtId="167" fontId="54" fillId="0" borderId="179" xfId="1" applyNumberFormat="1" applyFont="1" applyBorder="1" applyAlignment="1">
      <alignment horizontal="center"/>
    </xf>
    <xf numFmtId="167" fontId="60" fillId="0" borderId="183" xfId="3" applyNumberFormat="1" applyBorder="1" applyAlignment="1">
      <alignment horizontal="center"/>
    </xf>
    <xf numFmtId="167" fontId="60" fillId="0" borderId="198" xfId="3" applyNumberFormat="1" applyBorder="1" applyAlignment="1">
      <alignment horizontal="center"/>
    </xf>
    <xf numFmtId="167" fontId="60" fillId="0" borderId="180" xfId="3" applyNumberFormat="1" applyBorder="1" applyAlignment="1">
      <alignment horizontal="center"/>
    </xf>
    <xf numFmtId="167" fontId="60" fillId="0" borderId="172" xfId="3" applyNumberFormat="1" applyBorder="1" applyAlignment="1">
      <alignment horizontal="center"/>
    </xf>
    <xf numFmtId="171" fontId="54" fillId="0" borderId="179" xfId="1" applyNumberFormat="1" applyFont="1" applyBorder="1" applyAlignment="1">
      <alignment horizontal="center"/>
    </xf>
    <xf numFmtId="0" fontId="60" fillId="0" borderId="174" xfId="3" applyBorder="1" applyAlignment="1">
      <alignment horizontal="left"/>
    </xf>
    <xf numFmtId="171" fontId="54" fillId="0" borderId="184" xfId="1" applyNumberFormat="1" applyFont="1" applyBorder="1" applyAlignment="1">
      <alignment horizontal="center"/>
    </xf>
    <xf numFmtId="0" fontId="127" fillId="0" borderId="1" xfId="3" applyFont="1"/>
    <xf numFmtId="49" fontId="52" fillId="12" borderId="1" xfId="12" applyNumberFormat="1" applyFill="1" applyAlignment="1">
      <alignment horizontal="left" vertical="center"/>
    </xf>
    <xf numFmtId="0" fontId="52" fillId="12" borderId="1" xfId="12" applyFill="1"/>
    <xf numFmtId="2" fontId="52" fillId="12" borderId="1" xfId="12" applyNumberFormat="1" applyFill="1" applyAlignment="1">
      <alignment horizontal="right" vertical="center"/>
    </xf>
    <xf numFmtId="10" fontId="81" fillId="0" borderId="0" xfId="0" applyNumberFormat="1" applyFont="1"/>
    <xf numFmtId="1" fontId="81" fillId="0" borderId="0" xfId="0" applyNumberFormat="1" applyFont="1"/>
    <xf numFmtId="9" fontId="54" fillId="0" borderId="179" xfId="1" applyFont="1" applyFill="1" applyBorder="1" applyAlignment="1">
      <alignment horizontal="center"/>
    </xf>
    <xf numFmtId="171" fontId="54" fillId="0" borderId="180" xfId="4" applyNumberFormat="1" applyFont="1" applyBorder="1" applyAlignment="1">
      <alignment horizontal="center"/>
    </xf>
    <xf numFmtId="171" fontId="54" fillId="0" borderId="181" xfId="4" applyNumberFormat="1" applyFont="1" applyBorder="1" applyAlignment="1">
      <alignment horizontal="center"/>
    </xf>
    <xf numFmtId="171" fontId="54" fillId="0" borderId="185" xfId="4" applyNumberFormat="1" applyFont="1" applyBorder="1" applyAlignment="1">
      <alignment horizontal="center"/>
    </xf>
    <xf numFmtId="171" fontId="54" fillId="0" borderId="186" xfId="4" applyNumberFormat="1" applyFont="1" applyBorder="1" applyAlignment="1">
      <alignment horizontal="center"/>
    </xf>
    <xf numFmtId="175" fontId="54" fillId="0" borderId="180" xfId="3" applyNumberFormat="1" applyFont="1" applyBorder="1" applyAlignment="1">
      <alignment horizontal="center"/>
    </xf>
    <xf numFmtId="175" fontId="54" fillId="0" borderId="172" xfId="3" applyNumberFormat="1" applyFont="1" applyBorder="1" applyAlignment="1">
      <alignment horizontal="center"/>
    </xf>
    <xf numFmtId="0" fontId="54" fillId="22" borderId="171" xfId="3" applyFont="1" applyFill="1" applyBorder="1" applyAlignment="1">
      <alignment horizontal="left"/>
    </xf>
    <xf numFmtId="175" fontId="54" fillId="22" borderId="179" xfId="3" applyNumberFormat="1" applyFont="1" applyFill="1" applyBorder="1" applyAlignment="1">
      <alignment horizontal="center"/>
    </xf>
    <xf numFmtId="0" fontId="60" fillId="22" borderId="171" xfId="3" applyFill="1" applyBorder="1" applyAlignment="1">
      <alignment horizontal="left" indent="1"/>
    </xf>
    <xf numFmtId="37" fontId="50" fillId="22" borderId="171" xfId="3" applyNumberFormat="1" applyFont="1" applyFill="1" applyBorder="1" applyAlignment="1">
      <alignment horizontal="center"/>
    </xf>
    <xf numFmtId="1" fontId="54" fillId="0" borderId="180" xfId="3" applyNumberFormat="1" applyFont="1" applyBorder="1" applyAlignment="1">
      <alignment horizontal="center"/>
    </xf>
    <xf numFmtId="1" fontId="54" fillId="0" borderId="172" xfId="3" applyNumberFormat="1" applyFont="1" applyBorder="1" applyAlignment="1">
      <alignment horizontal="center"/>
    </xf>
    <xf numFmtId="0" fontId="127" fillId="0" borderId="173" xfId="3" applyFont="1" applyBorder="1"/>
    <xf numFmtId="37" fontId="127" fillId="0" borderId="182" xfId="3" applyNumberFormat="1" applyFont="1" applyBorder="1" applyAlignment="1">
      <alignment horizontal="center"/>
    </xf>
    <xf numFmtId="1" fontId="127" fillId="0" borderId="183" xfId="3" applyNumberFormat="1" applyFont="1" applyBorder="1" applyAlignment="1">
      <alignment horizontal="center"/>
    </xf>
    <xf numFmtId="1" fontId="127" fillId="0" borderId="198" xfId="3" applyNumberFormat="1" applyFont="1" applyBorder="1" applyAlignment="1">
      <alignment horizontal="center"/>
    </xf>
    <xf numFmtId="0" fontId="49" fillId="22" borderId="174" xfId="3" applyFont="1" applyFill="1" applyBorder="1" applyAlignment="1">
      <alignment horizontal="left" indent="1"/>
    </xf>
    <xf numFmtId="167" fontId="54" fillId="22" borderId="184" xfId="3" applyNumberFormat="1" applyFont="1" applyFill="1" applyBorder="1" applyAlignment="1">
      <alignment horizontal="center"/>
    </xf>
    <xf numFmtId="1" fontId="95" fillId="10" borderId="44" xfId="0" applyNumberFormat="1" applyFont="1" applyFill="1" applyBorder="1" applyAlignment="1">
      <alignment horizontal="left" vertical="top"/>
    </xf>
    <xf numFmtId="0" fontId="95" fillId="0" borderId="48" xfId="0" quotePrefix="1" applyFont="1" applyBorder="1" applyAlignment="1">
      <alignment horizontal="left" vertical="top"/>
    </xf>
    <xf numFmtId="49" fontId="95" fillId="0" borderId="0" xfId="0" applyNumberFormat="1" applyFont="1" applyAlignment="1">
      <alignment horizontal="left" vertical="top"/>
    </xf>
    <xf numFmtId="0" fontId="95" fillId="10" borderId="44" xfId="0" applyFont="1" applyFill="1" applyBorder="1" applyAlignment="1">
      <alignment horizontal="left" vertical="top"/>
    </xf>
    <xf numFmtId="1" fontId="95" fillId="10" borderId="46" xfId="0" applyNumberFormat="1" applyFont="1" applyFill="1" applyBorder="1" applyAlignment="1">
      <alignment horizontal="left" vertical="top"/>
    </xf>
    <xf numFmtId="0" fontId="94" fillId="10" borderId="48" xfId="0" applyFont="1" applyFill="1" applyBorder="1" applyAlignment="1">
      <alignment horizontal="left" vertical="top"/>
    </xf>
    <xf numFmtId="49" fontId="94" fillId="10" borderId="47" xfId="0" applyNumberFormat="1" applyFont="1" applyFill="1" applyBorder="1" applyAlignment="1">
      <alignment horizontal="left" vertical="top"/>
    </xf>
    <xf numFmtId="49" fontId="94" fillId="10" borderId="44" xfId="0" applyNumberFormat="1" applyFont="1" applyFill="1" applyBorder="1" applyAlignment="1">
      <alignment horizontal="left" vertical="top"/>
    </xf>
    <xf numFmtId="49" fontId="94" fillId="0" borderId="1" xfId="0" applyNumberFormat="1" applyFont="1" applyBorder="1" applyAlignment="1">
      <alignment horizontal="left" vertical="top"/>
    </xf>
    <xf numFmtId="39" fontId="94" fillId="0" borderId="0" xfId="0" applyNumberFormat="1" applyFont="1" applyAlignment="1">
      <alignment horizontal="left" vertical="top"/>
    </xf>
    <xf numFmtId="3" fontId="132" fillId="0" borderId="0" xfId="0" applyNumberFormat="1" applyFont="1"/>
    <xf numFmtId="3" fontId="71" fillId="0" borderId="0" xfId="0" applyNumberFormat="1" applyFont="1"/>
    <xf numFmtId="0" fontId="98" fillId="0" borderId="0" xfId="0" applyFont="1"/>
    <xf numFmtId="3" fontId="81" fillId="0" borderId="0" xfId="0" applyNumberFormat="1" applyFont="1"/>
    <xf numFmtId="10" fontId="73" fillId="0" borderId="0" xfId="0" applyNumberFormat="1" applyFont="1"/>
    <xf numFmtId="9" fontId="54" fillId="0" borderId="180" xfId="4" applyFont="1" applyFill="1" applyBorder="1" applyAlignment="1">
      <alignment horizontal="center"/>
    </xf>
    <xf numFmtId="9" fontId="54" fillId="23" borderId="180" xfId="4" applyFont="1" applyFill="1" applyBorder="1" applyAlignment="1">
      <alignment horizontal="center"/>
    </xf>
    <xf numFmtId="0" fontId="60" fillId="0" borderId="172" xfId="3" applyBorder="1"/>
    <xf numFmtId="9" fontId="54" fillId="0" borderId="189" xfId="4" applyFont="1" applyFill="1" applyBorder="1" applyAlignment="1">
      <alignment horizontal="center"/>
    </xf>
    <xf numFmtId="9" fontId="54" fillId="0" borderId="185" xfId="4" applyFont="1" applyFill="1" applyBorder="1" applyAlignment="1">
      <alignment horizontal="center"/>
    </xf>
    <xf numFmtId="171" fontId="82" fillId="3" borderId="95" xfId="0" applyNumberFormat="1" applyFont="1" applyFill="1" applyBorder="1"/>
    <xf numFmtId="0" fontId="73" fillId="0" borderId="54" xfId="0" applyFont="1" applyBorder="1"/>
    <xf numFmtId="0" fontId="73" fillId="0" borderId="55" xfId="0" applyFont="1" applyBorder="1"/>
    <xf numFmtId="37" fontId="73" fillId="0" borderId="65" xfId="0" applyNumberFormat="1" applyFont="1" applyBorder="1"/>
    <xf numFmtId="1" fontId="63" fillId="0" borderId="48" xfId="0" applyNumberFormat="1" applyFont="1" applyBorder="1" applyAlignment="1">
      <alignment horizontal="left" vertical="top"/>
    </xf>
    <xf numFmtId="0" fontId="95" fillId="10" borderId="0" xfId="0" applyFont="1" applyFill="1" applyAlignment="1">
      <alignment horizontal="left" vertical="top"/>
    </xf>
    <xf numFmtId="1" fontId="63" fillId="0" borderId="49" xfId="0" applyNumberFormat="1" applyFont="1" applyBorder="1" applyAlignment="1">
      <alignment horizontal="left" vertical="top"/>
    </xf>
    <xf numFmtId="1" fontId="95" fillId="13" borderId="49" xfId="0" applyNumberFormat="1" applyFont="1" applyFill="1" applyBorder="1" applyAlignment="1">
      <alignment horizontal="left" vertical="top"/>
    </xf>
    <xf numFmtId="49" fontId="94" fillId="0" borderId="0" xfId="0" applyNumberFormat="1" applyFont="1" applyAlignment="1">
      <alignment horizontal="left" vertical="top"/>
    </xf>
    <xf numFmtId="49" fontId="63" fillId="0" borderId="48" xfId="0" applyNumberFormat="1" applyFont="1" applyBorder="1" applyAlignment="1">
      <alignment horizontal="left" vertical="top"/>
    </xf>
    <xf numFmtId="39" fontId="94" fillId="10" borderId="0" xfId="0" applyNumberFormat="1" applyFont="1" applyFill="1" applyAlignment="1">
      <alignment horizontal="left" vertical="top"/>
    </xf>
    <xf numFmtId="49" fontId="94" fillId="0" borderId="45" xfId="0" applyNumberFormat="1" applyFont="1" applyBorder="1" applyAlignment="1">
      <alignment horizontal="left" vertical="top"/>
    </xf>
    <xf numFmtId="49" fontId="63" fillId="0" borderId="49" xfId="0" applyNumberFormat="1" applyFont="1" applyBorder="1" applyAlignment="1">
      <alignment horizontal="left" vertical="top"/>
    </xf>
    <xf numFmtId="49" fontId="94" fillId="10" borderId="0" xfId="0" applyNumberFormat="1" applyFont="1" applyFill="1" applyAlignment="1">
      <alignment horizontal="left" vertical="top"/>
    </xf>
    <xf numFmtId="0" fontId="94" fillId="10" borderId="44" xfId="0" applyFont="1" applyFill="1" applyBorder="1" applyAlignment="1">
      <alignment horizontal="left" vertical="top"/>
    </xf>
    <xf numFmtId="1" fontId="95" fillId="0" borderId="1" xfId="0" applyNumberFormat="1" applyFont="1" applyBorder="1" applyAlignment="1">
      <alignment horizontal="left" vertical="top"/>
    </xf>
    <xf numFmtId="0" fontId="94" fillId="10" borderId="50" xfId="0" applyFont="1" applyFill="1" applyBorder="1" applyAlignment="1">
      <alignment horizontal="left" vertical="top"/>
    </xf>
    <xf numFmtId="0" fontId="81" fillId="23" borderId="0" xfId="0" applyFont="1" applyFill="1"/>
    <xf numFmtId="49" fontId="129" fillId="0" borderId="1" xfId="20" applyNumberFormat="1" applyFont="1" applyAlignment="1">
      <alignment horizontal="center" vertical="center"/>
    </xf>
    <xf numFmtId="2" fontId="129" fillId="0" borderId="1" xfId="20" applyNumberFormat="1" applyFont="1" applyAlignment="1">
      <alignment horizontal="center" vertical="center"/>
    </xf>
    <xf numFmtId="176" fontId="129" fillId="0" borderId="1" xfId="20" applyNumberFormat="1" applyFont="1" applyAlignment="1">
      <alignment horizontal="center" vertical="center"/>
    </xf>
    <xf numFmtId="0" fontId="0" fillId="0" borderId="1" xfId="20" applyFont="1"/>
    <xf numFmtId="0" fontId="135" fillId="0" borderId="1" xfId="20" applyFont="1" applyAlignment="1">
      <alignment horizontal="center"/>
    </xf>
    <xf numFmtId="49" fontId="134" fillId="0" borderId="1" xfId="20" applyNumberFormat="1" applyAlignment="1">
      <alignment horizontal="center" vertical="center"/>
    </xf>
    <xf numFmtId="176" fontId="134" fillId="0" borderId="1" xfId="20" applyNumberFormat="1" applyAlignment="1">
      <alignment horizontal="center" vertical="center"/>
    </xf>
    <xf numFmtId="3" fontId="134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3" fillId="0" borderId="0" xfId="0" quotePrefix="1" applyFont="1"/>
    <xf numFmtId="9" fontId="127" fillId="23" borderId="183" xfId="4" applyFont="1" applyFill="1" applyBorder="1" applyAlignment="1">
      <alignment horizontal="center"/>
    </xf>
    <xf numFmtId="9" fontId="127" fillId="23" borderId="180" xfId="4" applyFont="1" applyFill="1" applyBorder="1" applyAlignment="1">
      <alignment horizontal="center"/>
    </xf>
    <xf numFmtId="0" fontId="98" fillId="12" borderId="0" xfId="0" quotePrefix="1" applyFont="1" applyFill="1"/>
    <xf numFmtId="0" fontId="100" fillId="25" borderId="106" xfId="0" applyFont="1" applyFill="1" applyBorder="1"/>
    <xf numFmtId="0" fontId="100" fillId="25" borderId="107" xfId="0" applyFont="1" applyFill="1" applyBorder="1"/>
    <xf numFmtId="0" fontId="100" fillId="25" borderId="108" xfId="0" applyFont="1" applyFill="1" applyBorder="1"/>
    <xf numFmtId="3" fontId="99" fillId="25" borderId="110" xfId="0" applyNumberFormat="1" applyFont="1" applyFill="1" applyBorder="1" applyAlignment="1">
      <alignment horizontal="center"/>
    </xf>
    <xf numFmtId="3" fontId="99" fillId="25" borderId="0" xfId="0" applyNumberFormat="1" applyFont="1" applyFill="1" applyAlignment="1">
      <alignment horizontal="center"/>
    </xf>
    <xf numFmtId="3" fontId="99" fillId="25" borderId="111" xfId="0" applyNumberFormat="1" applyFont="1" applyFill="1" applyBorder="1" applyAlignment="1">
      <alignment horizontal="center"/>
    </xf>
    <xf numFmtId="3" fontId="99" fillId="25" borderId="112" xfId="0" applyNumberFormat="1" applyFont="1" applyFill="1" applyBorder="1" applyAlignment="1">
      <alignment horizontal="center"/>
    </xf>
    <xf numFmtId="3" fontId="99" fillId="25" borderId="105" xfId="0" applyNumberFormat="1" applyFont="1" applyFill="1" applyBorder="1" applyAlignment="1">
      <alignment horizontal="center"/>
    </xf>
    <xf numFmtId="3" fontId="99" fillId="25" borderId="113" xfId="0" applyNumberFormat="1" applyFont="1" applyFill="1" applyBorder="1" applyAlignment="1" applyProtection="1">
      <alignment horizontal="right"/>
      <protection locked="0"/>
    </xf>
    <xf numFmtId="3" fontId="99" fillId="25" borderId="110" xfId="0" applyNumberFormat="1" applyFont="1" applyFill="1" applyBorder="1" applyProtection="1">
      <protection locked="0"/>
    </xf>
    <xf numFmtId="3" fontId="99" fillId="25" borderId="0" xfId="0" applyNumberFormat="1" applyFont="1" applyFill="1"/>
    <xf numFmtId="3" fontId="99" fillId="25" borderId="111" xfId="0" applyNumberFormat="1" applyFont="1" applyFill="1" applyBorder="1" applyProtection="1">
      <protection locked="0"/>
    </xf>
    <xf numFmtId="3" fontId="99" fillId="25" borderId="110" xfId="0" applyNumberFormat="1" applyFont="1" applyFill="1" applyBorder="1"/>
    <xf numFmtId="3" fontId="99" fillId="25" borderId="111" xfId="0" applyNumberFormat="1" applyFont="1" applyFill="1" applyBorder="1"/>
    <xf numFmtId="3" fontId="100" fillId="25" borderId="109" xfId="0" applyNumberFormat="1" applyFont="1" applyFill="1" applyBorder="1"/>
    <xf numFmtId="3" fontId="100" fillId="25" borderId="114" xfId="0" applyNumberFormat="1" applyFont="1" applyFill="1" applyBorder="1"/>
    <xf numFmtId="3" fontId="100" fillId="25" borderId="115" xfId="0" applyNumberFormat="1" applyFont="1" applyFill="1" applyBorder="1"/>
    <xf numFmtId="0" fontId="99" fillId="25" borderId="110" xfId="0" applyFont="1" applyFill="1" applyBorder="1"/>
    <xf numFmtId="0" fontId="99" fillId="25" borderId="111" xfId="0" applyFont="1" applyFill="1" applyBorder="1"/>
    <xf numFmtId="3" fontId="99" fillId="25" borderId="116" xfId="0" applyNumberFormat="1" applyFont="1" applyFill="1" applyBorder="1" applyProtection="1">
      <protection locked="0"/>
    </xf>
    <xf numFmtId="3" fontId="99" fillId="25" borderId="55" xfId="0" applyNumberFormat="1" applyFont="1" applyFill="1" applyBorder="1"/>
    <xf numFmtId="3" fontId="99" fillId="25" borderId="117" xfId="0" applyNumberFormat="1" applyFont="1" applyFill="1" applyBorder="1" applyProtection="1">
      <protection locked="0"/>
    </xf>
    <xf numFmtId="3" fontId="99" fillId="25" borderId="109" xfId="0" applyNumberFormat="1" applyFont="1" applyFill="1" applyBorder="1"/>
    <xf numFmtId="3" fontId="99" fillId="25" borderId="114" xfId="0" applyNumberFormat="1" applyFont="1" applyFill="1" applyBorder="1"/>
    <xf numFmtId="3" fontId="99" fillId="25" borderId="115" xfId="0" applyNumberFormat="1" applyFont="1" applyFill="1" applyBorder="1"/>
    <xf numFmtId="0" fontId="99" fillId="25" borderId="0" xfId="0" applyFont="1" applyFill="1"/>
    <xf numFmtId="37" fontId="99" fillId="25" borderId="111" xfId="0" applyNumberFormat="1" applyFont="1" applyFill="1" applyBorder="1"/>
    <xf numFmtId="37" fontId="100" fillId="26" borderId="118" xfId="0" applyNumberFormat="1" applyFont="1" applyFill="1" applyBorder="1"/>
    <xf numFmtId="172" fontId="100" fillId="26" borderId="119" xfId="0" applyNumberFormat="1" applyFont="1" applyFill="1" applyBorder="1"/>
    <xf numFmtId="37" fontId="100" fillId="26" borderId="120" xfId="0" applyNumberFormat="1" applyFont="1" applyFill="1" applyBorder="1"/>
    <xf numFmtId="0" fontId="100" fillId="26" borderId="121" xfId="0" applyFont="1" applyFill="1" applyBorder="1"/>
    <xf numFmtId="0" fontId="100" fillId="26" borderId="122" xfId="0" applyFont="1" applyFill="1" applyBorder="1"/>
    <xf numFmtId="0" fontId="100" fillId="26" borderId="123" xfId="0" applyFont="1" applyFill="1" applyBorder="1"/>
    <xf numFmtId="0" fontId="100" fillId="27" borderId="110" xfId="0" applyFont="1" applyFill="1" applyBorder="1"/>
    <xf numFmtId="0" fontId="100" fillId="27" borderId="0" xfId="0" applyFont="1" applyFill="1"/>
    <xf numFmtId="0" fontId="100" fillId="27" borderId="111" xfId="0" applyFont="1" applyFill="1" applyBorder="1"/>
    <xf numFmtId="0" fontId="99" fillId="25" borderId="0" xfId="0" applyFont="1" applyFill="1" applyAlignment="1">
      <alignment horizontal="center"/>
    </xf>
    <xf numFmtId="9" fontId="99" fillId="25" borderId="110" xfId="1" applyFont="1" applyFill="1" applyBorder="1"/>
    <xf numFmtId="37" fontId="99" fillId="25" borderId="0" xfId="0" applyNumberFormat="1" applyFont="1" applyFill="1"/>
    <xf numFmtId="37" fontId="99" fillId="25" borderId="111" xfId="0" applyNumberFormat="1" applyFont="1" applyFill="1" applyBorder="1" applyProtection="1">
      <protection locked="0"/>
    </xf>
    <xf numFmtId="9" fontId="99" fillId="25" borderId="112" xfId="1" applyFont="1" applyFill="1" applyBorder="1"/>
    <xf numFmtId="37" fontId="99" fillId="25" borderId="105" xfId="0" applyNumberFormat="1" applyFont="1" applyFill="1" applyBorder="1"/>
    <xf numFmtId="37" fontId="99" fillId="25" borderId="113" xfId="0" applyNumberFormat="1" applyFont="1" applyFill="1" applyBorder="1" applyProtection="1">
      <protection locked="0"/>
    </xf>
    <xf numFmtId="0" fontId="99" fillId="25" borderId="112" xfId="0" applyFont="1" applyFill="1" applyBorder="1"/>
    <xf numFmtId="0" fontId="100" fillId="26" borderId="124" xfId="0" applyFont="1" applyFill="1" applyBorder="1" applyAlignment="1">
      <alignment horizontal="center"/>
    </xf>
    <xf numFmtId="171" fontId="100" fillId="26" borderId="125" xfId="0" applyNumberFormat="1" applyFont="1" applyFill="1" applyBorder="1"/>
    <xf numFmtId="37" fontId="100" fillId="26" borderId="126" xfId="0" applyNumberFormat="1" applyFont="1" applyFill="1" applyBorder="1"/>
    <xf numFmtId="0" fontId="99" fillId="25" borderId="109" xfId="0" applyFont="1" applyFill="1" applyBorder="1"/>
    <xf numFmtId="0" fontId="99" fillId="25" borderId="114" xfId="0" applyFont="1" applyFill="1" applyBorder="1"/>
    <xf numFmtId="37" fontId="99" fillId="25" borderId="115" xfId="0" applyNumberFormat="1" applyFont="1" applyFill="1" applyBorder="1" applyProtection="1">
      <protection locked="0"/>
    </xf>
    <xf numFmtId="0" fontId="99" fillId="25" borderId="105" xfId="0" applyFont="1" applyFill="1" applyBorder="1"/>
    <xf numFmtId="37" fontId="99" fillId="25" borderId="113" xfId="0" applyNumberFormat="1" applyFont="1" applyFill="1" applyBorder="1"/>
    <xf numFmtId="0" fontId="99" fillId="25" borderId="116" xfId="0" applyFont="1" applyFill="1" applyBorder="1"/>
    <xf numFmtId="0" fontId="99" fillId="25" borderId="55" xfId="0" applyFont="1" applyFill="1" applyBorder="1"/>
    <xf numFmtId="37" fontId="99" fillId="25" borderId="117" xfId="0" applyNumberFormat="1" applyFont="1" applyFill="1" applyBorder="1" applyProtection="1">
      <protection locked="0"/>
    </xf>
    <xf numFmtId="37" fontId="100" fillId="26" borderId="128" xfId="0" applyNumberFormat="1" applyFont="1" applyFill="1" applyBorder="1"/>
    <xf numFmtId="0" fontId="100" fillId="26" borderId="130" xfId="0" applyFont="1" applyFill="1" applyBorder="1" applyAlignment="1">
      <alignment horizontal="center"/>
    </xf>
    <xf numFmtId="171" fontId="100" fillId="26" borderId="131" xfId="0" applyNumberFormat="1" applyFont="1" applyFill="1" applyBorder="1"/>
    <xf numFmtId="37" fontId="100" fillId="26" borderId="132" xfId="0" applyNumberFormat="1" applyFont="1" applyFill="1" applyBorder="1"/>
    <xf numFmtId="0" fontId="99" fillId="27" borderId="112" xfId="0" applyFont="1" applyFill="1" applyBorder="1"/>
    <xf numFmtId="0" fontId="99" fillId="27" borderId="105" xfId="0" applyFont="1" applyFill="1" applyBorder="1"/>
    <xf numFmtId="37" fontId="100" fillId="27" borderId="111" xfId="0" applyNumberFormat="1" applyFont="1" applyFill="1" applyBorder="1"/>
    <xf numFmtId="0" fontId="99" fillId="26" borderId="133" xfId="0" applyFont="1" applyFill="1" applyBorder="1"/>
    <xf numFmtId="0" fontId="99" fillId="26" borderId="134" xfId="0" applyFont="1" applyFill="1" applyBorder="1"/>
    <xf numFmtId="37" fontId="100" fillId="26" borderId="135" xfId="0" applyNumberFormat="1" applyFont="1" applyFill="1" applyBorder="1"/>
    <xf numFmtId="0" fontId="113" fillId="25" borderId="0" xfId="0" applyFont="1" applyFill="1"/>
    <xf numFmtId="37" fontId="113" fillId="25" borderId="0" xfId="0" applyNumberFormat="1" applyFont="1" applyFill="1"/>
    <xf numFmtId="0" fontId="111" fillId="25" borderId="0" xfId="0" applyFont="1" applyFill="1"/>
    <xf numFmtId="0" fontId="109" fillId="25" borderId="0" xfId="0" applyFont="1" applyFill="1"/>
    <xf numFmtId="0" fontId="99" fillId="25" borderId="110" xfId="0" applyFont="1" applyFill="1" applyBorder="1" applyAlignment="1">
      <alignment horizontal="center"/>
    </xf>
    <xf numFmtId="0" fontId="99" fillId="25" borderId="111" xfId="0" applyFont="1" applyFill="1" applyBorder="1" applyAlignment="1">
      <alignment horizontal="center"/>
    </xf>
    <xf numFmtId="3" fontId="99" fillId="25" borderId="113" xfId="0" applyNumberFormat="1" applyFont="1" applyFill="1" applyBorder="1" applyAlignment="1" applyProtection="1">
      <alignment horizontal="center"/>
      <protection locked="0"/>
    </xf>
    <xf numFmtId="3" fontId="99" fillId="25" borderId="112" xfId="0" applyNumberFormat="1" applyFont="1" applyFill="1" applyBorder="1"/>
    <xf numFmtId="3" fontId="99" fillId="25" borderId="105" xfId="0" applyNumberFormat="1" applyFont="1" applyFill="1" applyBorder="1"/>
    <xf numFmtId="3" fontId="99" fillId="25" borderId="113" xfId="0" applyNumberFormat="1" applyFont="1" applyFill="1" applyBorder="1"/>
    <xf numFmtId="0" fontId="100" fillId="25" borderId="110" xfId="0" applyFont="1" applyFill="1" applyBorder="1"/>
    <xf numFmtId="0" fontId="100" fillId="25" borderId="0" xfId="0" applyFont="1" applyFill="1"/>
    <xf numFmtId="0" fontId="100" fillId="25" borderId="111" xfId="0" applyFont="1" applyFill="1" applyBorder="1"/>
    <xf numFmtId="9" fontId="99" fillId="25" borderId="110" xfId="0" applyNumberFormat="1" applyFont="1" applyFill="1" applyBorder="1"/>
    <xf numFmtId="0" fontId="99" fillId="25" borderId="110" xfId="0" applyFont="1" applyFill="1" applyBorder="1" applyAlignment="1">
      <alignment horizontal="right"/>
    </xf>
    <xf numFmtId="171" fontId="99" fillId="25" borderId="0" xfId="0" applyNumberFormat="1" applyFont="1" applyFill="1"/>
    <xf numFmtId="0" fontId="100" fillId="26" borderId="127" xfId="0" applyFont="1" applyFill="1" applyBorder="1" applyAlignment="1">
      <alignment horizontal="center"/>
    </xf>
    <xf numFmtId="171" fontId="100" fillId="26" borderId="136" xfId="0" applyNumberFormat="1" applyFont="1" applyFill="1" applyBorder="1"/>
    <xf numFmtId="0" fontId="100" fillId="26" borderId="133" xfId="0" applyFont="1" applyFill="1" applyBorder="1"/>
    <xf numFmtId="0" fontId="100" fillId="26" borderId="134" xfId="0" applyFont="1" applyFill="1" applyBorder="1"/>
    <xf numFmtId="37" fontId="111" fillId="25" borderId="0" xfId="0" applyNumberFormat="1" applyFont="1" applyFill="1"/>
    <xf numFmtId="37" fontId="99" fillId="25" borderId="110" xfId="0" applyNumberFormat="1" applyFont="1" applyFill="1" applyBorder="1" applyProtection="1">
      <protection locked="0"/>
    </xf>
    <xf numFmtId="37" fontId="99" fillId="25" borderId="0" xfId="0" applyNumberFormat="1" applyFont="1" applyFill="1" applyProtection="1">
      <protection locked="0"/>
    </xf>
    <xf numFmtId="37" fontId="99" fillId="25" borderId="110" xfId="0" applyNumberFormat="1" applyFont="1" applyFill="1" applyBorder="1"/>
    <xf numFmtId="171" fontId="99" fillId="25" borderId="111" xfId="0" applyNumberFormat="1" applyFont="1" applyFill="1" applyBorder="1"/>
    <xf numFmtId="37" fontId="99" fillId="25" borderId="112" xfId="0" applyNumberFormat="1" applyFont="1" applyFill="1" applyBorder="1"/>
    <xf numFmtId="2" fontId="99" fillId="25" borderId="105" xfId="0" applyNumberFormat="1" applyFont="1" applyFill="1" applyBorder="1"/>
    <xf numFmtId="171" fontId="99" fillId="25" borderId="113" xfId="0" applyNumberFormat="1" applyFont="1" applyFill="1" applyBorder="1"/>
    <xf numFmtId="37" fontId="99" fillId="25" borderId="109" xfId="0" applyNumberFormat="1" applyFont="1" applyFill="1" applyBorder="1" applyProtection="1">
      <protection locked="0"/>
    </xf>
    <xf numFmtId="37" fontId="99" fillId="25" borderId="114" xfId="0" applyNumberFormat="1" applyFont="1" applyFill="1" applyBorder="1" applyProtection="1">
      <protection locked="0"/>
    </xf>
    <xf numFmtId="172" fontId="99" fillId="25" borderId="0" xfId="0" applyNumberFormat="1" applyFont="1" applyFill="1"/>
    <xf numFmtId="173" fontId="99" fillId="25" borderId="0" xfId="0" applyNumberFormat="1" applyFont="1" applyFill="1"/>
    <xf numFmtId="37" fontId="100" fillId="25" borderId="110" xfId="0" applyNumberFormat="1" applyFont="1" applyFill="1" applyBorder="1"/>
    <xf numFmtId="172" fontId="100" fillId="25" borderId="0" xfId="0" applyNumberFormat="1" applyFont="1" applyFill="1"/>
    <xf numFmtId="37" fontId="100" fillId="25" borderId="112" xfId="0" applyNumberFormat="1" applyFont="1" applyFill="1" applyBorder="1"/>
    <xf numFmtId="173" fontId="99" fillId="25" borderId="105" xfId="0" applyNumberFormat="1" applyFont="1" applyFill="1" applyBorder="1"/>
    <xf numFmtId="37" fontId="100" fillId="27" borderId="118" xfId="0" applyNumberFormat="1" applyFont="1" applyFill="1" applyBorder="1"/>
    <xf numFmtId="37" fontId="100" fillId="27" borderId="119" xfId="0" applyNumberFormat="1" applyFont="1" applyFill="1" applyBorder="1"/>
    <xf numFmtId="37" fontId="100" fillId="27" borderId="120" xfId="0" applyNumberFormat="1" applyFont="1" applyFill="1" applyBorder="1"/>
    <xf numFmtId="37" fontId="100" fillId="27" borderId="112" xfId="0" applyNumberFormat="1" applyFont="1" applyFill="1" applyBorder="1"/>
    <xf numFmtId="39" fontId="100" fillId="27" borderId="105" xfId="0" applyNumberFormat="1" applyFont="1" applyFill="1" applyBorder="1"/>
    <xf numFmtId="171" fontId="100" fillId="25" borderId="111" xfId="0" applyNumberFormat="1" applyFont="1" applyFill="1" applyBorder="1"/>
    <xf numFmtId="37" fontId="99" fillId="25" borderId="137" xfId="0" applyNumberFormat="1" applyFont="1" applyFill="1" applyBorder="1"/>
    <xf numFmtId="172" fontId="99" fillId="25" borderId="0" xfId="0" applyNumberFormat="1" applyFont="1" applyFill="1" applyProtection="1">
      <protection locked="0"/>
    </xf>
    <xf numFmtId="172" fontId="99" fillId="25" borderId="114" xfId="0" applyNumberFormat="1" applyFont="1" applyFill="1" applyBorder="1" applyProtection="1">
      <protection locked="0"/>
    </xf>
    <xf numFmtId="172" fontId="99" fillId="25" borderId="105" xfId="0" applyNumberFormat="1" applyFont="1" applyFill="1" applyBorder="1"/>
    <xf numFmtId="37" fontId="100" fillId="27" borderId="109" xfId="0" applyNumberFormat="1" applyFont="1" applyFill="1" applyBorder="1"/>
    <xf numFmtId="172" fontId="100" fillId="27" borderId="114" xfId="0" applyNumberFormat="1" applyFont="1" applyFill="1" applyBorder="1"/>
    <xf numFmtId="37" fontId="100" fillId="27" borderId="115" xfId="0" applyNumberFormat="1" applyFont="1" applyFill="1" applyBorder="1"/>
    <xf numFmtId="37" fontId="100" fillId="26" borderId="119" xfId="0" applyNumberFormat="1" applyFont="1" applyFill="1" applyBorder="1"/>
    <xf numFmtId="171" fontId="100" fillId="26" borderId="123" xfId="0" applyNumberFormat="1" applyFont="1" applyFill="1" applyBorder="1"/>
    <xf numFmtId="171" fontId="100" fillId="27" borderId="111" xfId="0" applyNumberFormat="1" applyFont="1" applyFill="1" applyBorder="1"/>
    <xf numFmtId="0" fontId="99" fillId="25" borderId="1" xfId="0" applyFont="1" applyFill="1" applyBorder="1"/>
    <xf numFmtId="37" fontId="100" fillId="25" borderId="109" xfId="0" applyNumberFormat="1" applyFont="1" applyFill="1" applyBorder="1"/>
    <xf numFmtId="171" fontId="100" fillId="25" borderId="114" xfId="0" applyNumberFormat="1" applyFont="1" applyFill="1" applyBorder="1"/>
    <xf numFmtId="37" fontId="100" fillId="25" borderId="115" xfId="0" applyNumberFormat="1" applyFont="1" applyFill="1" applyBorder="1"/>
    <xf numFmtId="0" fontId="99" fillId="25" borderId="113" xfId="0" applyFont="1" applyFill="1" applyBorder="1"/>
    <xf numFmtId="171" fontId="99" fillId="25" borderId="0" xfId="1" applyNumberFormat="1" applyFont="1" applyFill="1"/>
    <xf numFmtId="37" fontId="99" fillId="25" borderId="116" xfId="0" applyNumberFormat="1" applyFont="1" applyFill="1" applyBorder="1" applyProtection="1">
      <protection locked="0"/>
    </xf>
    <xf numFmtId="171" fontId="99" fillId="25" borderId="55" xfId="0" applyNumberFormat="1" applyFont="1" applyFill="1" applyBorder="1"/>
    <xf numFmtId="171" fontId="100" fillId="26" borderId="119" xfId="0" applyNumberFormat="1" applyFont="1" applyFill="1" applyBorder="1"/>
    <xf numFmtId="37" fontId="100" fillId="26" borderId="140" xfId="0" applyNumberFormat="1" applyFont="1" applyFill="1" applyBorder="1"/>
    <xf numFmtId="172" fontId="100" fillId="26" borderId="141" xfId="0" applyNumberFormat="1" applyFont="1" applyFill="1" applyBorder="1"/>
    <xf numFmtId="37" fontId="100" fillId="26" borderId="142" xfId="0" applyNumberFormat="1" applyFont="1" applyFill="1" applyBorder="1"/>
    <xf numFmtId="37" fontId="100" fillId="27" borderId="110" xfId="0" applyNumberFormat="1" applyFont="1" applyFill="1" applyBorder="1"/>
    <xf numFmtId="172" fontId="100" fillId="27" borderId="0" xfId="0" applyNumberFormat="1" applyFont="1" applyFill="1"/>
    <xf numFmtId="37" fontId="100" fillId="25" borderId="0" xfId="0" applyNumberFormat="1" applyFont="1" applyFill="1"/>
    <xf numFmtId="0" fontId="99" fillId="26" borderId="143" xfId="0" applyFont="1" applyFill="1" applyBorder="1"/>
    <xf numFmtId="0" fontId="99" fillId="26" borderId="144" xfId="0" applyFont="1" applyFill="1" applyBorder="1"/>
    <xf numFmtId="37" fontId="100" fillId="26" borderId="145" xfId="0" applyNumberFormat="1" applyFont="1" applyFill="1" applyBorder="1"/>
    <xf numFmtId="37" fontId="109" fillId="25" borderId="0" xfId="0" applyNumberFormat="1" applyFont="1" applyFill="1"/>
    <xf numFmtId="0" fontId="111" fillId="25" borderId="122" xfId="0" applyFont="1" applyFill="1" applyBorder="1" applyAlignment="1">
      <alignment horizontal="center"/>
    </xf>
    <xf numFmtId="37" fontId="111" fillId="25" borderId="122" xfId="0" applyNumberFormat="1" applyFont="1" applyFill="1" applyBorder="1" applyAlignment="1">
      <alignment horizontal="center"/>
    </xf>
    <xf numFmtId="0" fontId="100" fillId="25" borderId="196" xfId="0" applyFont="1" applyFill="1" applyBorder="1"/>
    <xf numFmtId="0" fontId="100" fillId="25" borderId="197" xfId="0" applyFont="1" applyFill="1" applyBorder="1"/>
    <xf numFmtId="0" fontId="99" fillId="25" borderId="147" xfId="0" applyFont="1" applyFill="1" applyBorder="1" applyAlignment="1">
      <alignment horizontal="center"/>
    </xf>
    <xf numFmtId="0" fontId="99" fillId="25" borderId="105" xfId="0" applyFont="1" applyFill="1" applyBorder="1" applyAlignment="1">
      <alignment horizontal="center"/>
    </xf>
    <xf numFmtId="0" fontId="99" fillId="25" borderId="148" xfId="0" applyFont="1" applyFill="1" applyBorder="1" applyAlignment="1">
      <alignment horizontal="center"/>
    </xf>
    <xf numFmtId="37" fontId="103" fillId="25" borderId="147" xfId="0" applyNumberFormat="1" applyFont="1" applyFill="1" applyBorder="1"/>
    <xf numFmtId="37" fontId="103" fillId="25" borderId="105" xfId="0" applyNumberFormat="1" applyFont="1" applyFill="1" applyBorder="1"/>
    <xf numFmtId="37" fontId="103" fillId="25" borderId="148" xfId="0" applyNumberFormat="1" applyFont="1" applyFill="1" applyBorder="1"/>
    <xf numFmtId="37" fontId="116" fillId="26" borderId="147" xfId="0" applyNumberFormat="1" applyFont="1" applyFill="1" applyBorder="1"/>
    <xf numFmtId="37" fontId="116" fillId="26" borderId="105" xfId="0" applyNumberFormat="1" applyFont="1" applyFill="1" applyBorder="1"/>
    <xf numFmtId="37" fontId="116" fillId="26" borderId="148" xfId="0" applyNumberFormat="1" applyFont="1" applyFill="1" applyBorder="1"/>
    <xf numFmtId="37" fontId="103" fillId="25" borderId="72" xfId="0" applyNumberFormat="1" applyFont="1" applyFill="1" applyBorder="1"/>
    <xf numFmtId="0" fontId="103" fillId="25" borderId="0" xfId="0" applyFont="1" applyFill="1"/>
    <xf numFmtId="37" fontId="103" fillId="25" borderId="57" xfId="0" applyNumberFormat="1" applyFont="1" applyFill="1" applyBorder="1"/>
    <xf numFmtId="0" fontId="103" fillId="25" borderId="72" xfId="0" applyFont="1" applyFill="1" applyBorder="1"/>
    <xf numFmtId="172" fontId="103" fillId="25" borderId="0" xfId="0" applyNumberFormat="1" applyFont="1" applyFill="1"/>
    <xf numFmtId="0" fontId="103" fillId="25" borderId="147" xfId="0" applyFont="1" applyFill="1" applyBorder="1"/>
    <xf numFmtId="172" fontId="103" fillId="25" borderId="105" xfId="0" applyNumberFormat="1" applyFont="1" applyFill="1" applyBorder="1"/>
    <xf numFmtId="171" fontId="116" fillId="26" borderId="149" xfId="0" applyNumberFormat="1" applyFont="1" applyFill="1" applyBorder="1"/>
    <xf numFmtId="0" fontId="116" fillId="26" borderId="125" xfId="0" applyFont="1" applyFill="1" applyBorder="1"/>
    <xf numFmtId="37" fontId="116" fillId="26" borderId="150" xfId="0" applyNumberFormat="1" applyFont="1" applyFill="1" applyBorder="1"/>
    <xf numFmtId="37" fontId="103" fillId="25" borderId="57" xfId="0" applyNumberFormat="1" applyFont="1" applyFill="1" applyBorder="1" applyProtection="1">
      <protection locked="0"/>
    </xf>
    <xf numFmtId="9" fontId="103" fillId="25" borderId="105" xfId="1" applyFont="1" applyFill="1" applyBorder="1"/>
    <xf numFmtId="9" fontId="103" fillId="25" borderId="0" xfId="1" applyFont="1" applyFill="1"/>
    <xf numFmtId="172" fontId="116" fillId="26" borderId="125" xfId="0" applyNumberFormat="1" applyFont="1" applyFill="1" applyBorder="1"/>
    <xf numFmtId="0" fontId="103" fillId="25" borderId="151" xfId="0" applyFont="1" applyFill="1" applyBorder="1"/>
    <xf numFmtId="172" fontId="103" fillId="25" borderId="114" xfId="0" applyNumberFormat="1" applyFont="1" applyFill="1" applyBorder="1"/>
    <xf numFmtId="37" fontId="103" fillId="25" borderId="152" xfId="0" applyNumberFormat="1" applyFont="1" applyFill="1" applyBorder="1"/>
    <xf numFmtId="0" fontId="103" fillId="25" borderId="103" xfId="0" applyFont="1" applyFill="1" applyBorder="1"/>
    <xf numFmtId="172" fontId="103" fillId="25" borderId="55" xfId="0" applyNumberFormat="1" applyFont="1" applyFill="1" applyBorder="1"/>
    <xf numFmtId="37" fontId="103" fillId="25" borderId="65" xfId="0" applyNumberFormat="1" applyFont="1" applyFill="1" applyBorder="1"/>
    <xf numFmtId="172" fontId="103" fillId="25" borderId="1" xfId="0" applyNumberFormat="1" applyFont="1" applyFill="1" applyBorder="1"/>
    <xf numFmtId="37" fontId="103" fillId="25" borderId="148" xfId="0" applyNumberFormat="1" applyFont="1" applyFill="1" applyBorder="1" applyProtection="1">
      <protection locked="0"/>
    </xf>
    <xf numFmtId="0" fontId="136" fillId="25" borderId="72" xfId="0" applyFont="1" applyFill="1" applyBorder="1"/>
    <xf numFmtId="0" fontId="136" fillId="25" borderId="0" xfId="0" applyFont="1" applyFill="1"/>
    <xf numFmtId="37" fontId="136" fillId="25" borderId="57" xfId="0" applyNumberFormat="1" applyFont="1" applyFill="1" applyBorder="1"/>
    <xf numFmtId="171" fontId="116" fillId="25" borderId="151" xfId="0" applyNumberFormat="1" applyFont="1" applyFill="1" applyBorder="1"/>
    <xf numFmtId="0" fontId="116" fillId="25" borderId="114" xfId="0" applyFont="1" applyFill="1" applyBorder="1"/>
    <xf numFmtId="37" fontId="103" fillId="27" borderId="152" xfId="0" applyNumberFormat="1" applyFont="1" applyFill="1" applyBorder="1"/>
    <xf numFmtId="171" fontId="116" fillId="25" borderId="72" xfId="0" applyNumberFormat="1" applyFont="1" applyFill="1" applyBorder="1"/>
    <xf numFmtId="0" fontId="116" fillId="25" borderId="0" xfId="0" applyFont="1" applyFill="1"/>
    <xf numFmtId="171" fontId="116" fillId="25" borderId="147" xfId="0" applyNumberFormat="1" applyFont="1" applyFill="1" applyBorder="1"/>
    <xf numFmtId="0" fontId="103" fillId="26" borderId="125" xfId="0" applyFont="1" applyFill="1" applyBorder="1"/>
    <xf numFmtId="0" fontId="137" fillId="27" borderId="151" xfId="0" applyFont="1" applyFill="1" applyBorder="1"/>
    <xf numFmtId="0" fontId="136" fillId="27" borderId="114" xfId="0" applyFont="1" applyFill="1" applyBorder="1"/>
    <xf numFmtId="37" fontId="136" fillId="27" borderId="152" xfId="0" applyNumberFormat="1" applyFont="1" applyFill="1" applyBorder="1"/>
    <xf numFmtId="0" fontId="116" fillId="26" borderId="154" xfId="0" applyFont="1" applyFill="1" applyBorder="1" applyAlignment="1">
      <alignment horizontal="center"/>
    </xf>
    <xf numFmtId="171" fontId="116" fillId="26" borderId="144" xfId="0" applyNumberFormat="1" applyFont="1" applyFill="1" applyBorder="1"/>
    <xf numFmtId="37" fontId="116" fillId="26" borderId="155" xfId="0" applyNumberFormat="1" applyFont="1" applyFill="1" applyBorder="1"/>
    <xf numFmtId="39" fontId="103" fillId="25" borderId="0" xfId="0" applyNumberFormat="1" applyFont="1" applyFill="1"/>
    <xf numFmtId="0" fontId="116" fillId="26" borderId="158" xfId="0" applyFont="1" applyFill="1" applyBorder="1" applyAlignment="1">
      <alignment horizontal="center"/>
    </xf>
    <xf numFmtId="171" fontId="116" fillId="26" borderId="157" xfId="0" applyNumberFormat="1" applyFont="1" applyFill="1" applyBorder="1"/>
    <xf numFmtId="37" fontId="116" fillId="26" borderId="159" xfId="0" applyNumberFormat="1" applyFont="1" applyFill="1" applyBorder="1"/>
    <xf numFmtId="0" fontId="115" fillId="25" borderId="72" xfId="0" applyFont="1" applyFill="1" applyBorder="1"/>
    <xf numFmtId="0" fontId="115" fillId="25" borderId="0" xfId="0" applyFont="1" applyFill="1"/>
    <xf numFmtId="0" fontId="115" fillId="25" borderId="57" xfId="0" applyFont="1" applyFill="1" applyBorder="1"/>
    <xf numFmtId="0" fontId="111" fillId="25" borderId="72" xfId="0" applyFont="1" applyFill="1" applyBorder="1"/>
    <xf numFmtId="0" fontId="99" fillId="25" borderId="72" xfId="0" applyFont="1" applyFill="1" applyBorder="1"/>
    <xf numFmtId="0" fontId="100" fillId="25" borderId="72" xfId="0" applyFont="1" applyFill="1" applyBorder="1"/>
    <xf numFmtId="0" fontId="116" fillId="26" borderId="164" xfId="0" applyFont="1" applyFill="1" applyBorder="1" applyAlignment="1">
      <alignment horizontal="center"/>
    </xf>
    <xf numFmtId="171" fontId="116" fillId="26" borderId="163" xfId="0" applyNumberFormat="1" applyFont="1" applyFill="1" applyBorder="1"/>
    <xf numFmtId="37" fontId="116" fillId="26" borderId="165" xfId="0" applyNumberFormat="1" applyFont="1" applyFill="1" applyBorder="1"/>
    <xf numFmtId="0" fontId="138" fillId="0" borderId="1" xfId="22" applyFont="1"/>
    <xf numFmtId="0" fontId="45" fillId="0" borderId="1" xfId="22"/>
    <xf numFmtId="0" fontId="139" fillId="0" borderId="1" xfId="22" applyFont="1"/>
    <xf numFmtId="0" fontId="140" fillId="0" borderId="1" xfId="22" applyFont="1" applyAlignment="1">
      <alignment horizontal="center"/>
    </xf>
    <xf numFmtId="0" fontId="45" fillId="0" borderId="1" xfId="22" applyAlignment="1">
      <alignment horizontal="center"/>
    </xf>
    <xf numFmtId="0" fontId="127" fillId="0" borderId="1" xfId="22" applyFont="1" applyAlignment="1">
      <alignment horizontal="center"/>
    </xf>
    <xf numFmtId="0" fontId="127" fillId="18" borderId="200" xfId="22" applyFont="1" applyFill="1" applyBorder="1" applyAlignment="1">
      <alignment horizontal="center" vertical="center" wrapText="1"/>
    </xf>
    <xf numFmtId="0" fontId="127" fillId="18" borderId="201" xfId="22" applyFont="1" applyFill="1" applyBorder="1" applyAlignment="1">
      <alignment horizontal="center" vertical="center" wrapText="1"/>
    </xf>
    <xf numFmtId="0" fontId="127" fillId="18" borderId="202" xfId="22" applyFont="1" applyFill="1" applyBorder="1" applyAlignment="1">
      <alignment horizontal="center" vertical="center" wrapText="1"/>
    </xf>
    <xf numFmtId="0" fontId="127" fillId="18" borderId="199" xfId="22" applyFont="1" applyFill="1" applyBorder="1" applyAlignment="1">
      <alignment horizontal="center" vertical="center" wrapText="1"/>
    </xf>
    <xf numFmtId="0" fontId="127" fillId="0" borderId="1" xfId="22" applyFont="1"/>
    <xf numFmtId="167" fontId="128" fillId="11" borderId="204" xfId="22" applyNumberFormat="1" applyFont="1" applyFill="1" applyBorder="1" applyAlignment="1">
      <alignment horizontal="center" vertical="center"/>
    </xf>
    <xf numFmtId="167" fontId="128" fillId="11" borderId="206" xfId="22" applyNumberFormat="1" applyFont="1" applyFill="1" applyBorder="1" applyAlignment="1">
      <alignment horizontal="center" vertical="center"/>
    </xf>
    <xf numFmtId="0" fontId="128" fillId="11" borderId="205" xfId="22" applyFont="1" applyFill="1" applyBorder="1" applyAlignment="1">
      <alignment horizontal="center" vertical="center"/>
    </xf>
    <xf numFmtId="3" fontId="127" fillId="11" borderId="204" xfId="22" applyNumberFormat="1" applyFont="1" applyFill="1" applyBorder="1" applyAlignment="1">
      <alignment horizontal="center" vertical="center"/>
    </xf>
    <xf numFmtId="3" fontId="127" fillId="11" borderId="206" xfId="22" applyNumberFormat="1" applyFont="1" applyFill="1" applyBorder="1" applyAlignment="1">
      <alignment horizontal="center" vertical="center"/>
    </xf>
    <xf numFmtId="0" fontId="45" fillId="11" borderId="207" xfId="22" applyFill="1" applyBorder="1" applyAlignment="1">
      <alignment wrapText="1"/>
    </xf>
    <xf numFmtId="0" fontId="45" fillId="0" borderId="199" xfId="22" applyBorder="1" applyAlignment="1" applyProtection="1">
      <alignment horizontal="center" vertical="center" wrapText="1"/>
      <protection locked="0"/>
    </xf>
    <xf numFmtId="0" fontId="45" fillId="0" borderId="199" xfId="22" applyBorder="1" applyAlignment="1">
      <alignment horizontal="center" vertical="center"/>
    </xf>
    <xf numFmtId="0" fontId="45" fillId="0" borderId="167" xfId="22" applyBorder="1" applyAlignment="1" applyProtection="1">
      <alignment horizontal="center" vertical="center" wrapText="1"/>
      <protection locked="0"/>
    </xf>
    <xf numFmtId="37" fontId="45" fillId="0" borderId="1" xfId="22" applyNumberFormat="1" applyAlignment="1" applyProtection="1">
      <alignment horizontal="center" vertical="center"/>
      <protection locked="0"/>
    </xf>
    <xf numFmtId="37" fontId="45" fillId="0" borderId="208" xfId="22" applyNumberFormat="1" applyBorder="1" applyAlignment="1" applyProtection="1">
      <alignment horizontal="center" vertical="center"/>
      <protection locked="0"/>
    </xf>
    <xf numFmtId="0" fontId="45" fillId="0" borderId="209" xfId="22" applyBorder="1" applyAlignment="1" applyProtection="1">
      <alignment horizontal="center" vertical="center" wrapText="1"/>
      <protection locked="0"/>
    </xf>
    <xf numFmtId="0" fontId="45" fillId="0" borderId="209" xfId="22" applyBorder="1" applyAlignment="1">
      <alignment horizontal="center" vertical="center"/>
    </xf>
    <xf numFmtId="0" fontId="45" fillId="0" borderId="208" xfId="22" applyBorder="1" applyAlignment="1" applyProtection="1">
      <alignment horizontal="center" vertical="center" wrapText="1"/>
      <protection locked="0"/>
    </xf>
    <xf numFmtId="0" fontId="45" fillId="0" borderId="203" xfId="22" applyBorder="1" applyAlignment="1" applyProtection="1">
      <alignment horizontal="center" vertical="center" wrapText="1"/>
      <protection locked="0"/>
    </xf>
    <xf numFmtId="0" fontId="45" fillId="0" borderId="203" xfId="22" applyBorder="1" applyAlignment="1">
      <alignment horizontal="center" vertical="center"/>
    </xf>
    <xf numFmtId="0" fontId="45" fillId="0" borderId="210" xfId="22" applyBorder="1" applyAlignment="1" applyProtection="1">
      <alignment horizontal="center" vertical="center" wrapText="1"/>
      <protection locked="0"/>
    </xf>
    <xf numFmtId="0" fontId="45" fillId="0" borderId="211" xfId="22" applyBorder="1" applyAlignment="1" applyProtection="1">
      <alignment horizontal="center" vertical="center" wrapText="1"/>
      <protection locked="0"/>
    </xf>
    <xf numFmtId="37" fontId="45" fillId="0" borderId="210" xfId="22" applyNumberFormat="1" applyBorder="1" applyAlignment="1" applyProtection="1">
      <alignment horizontal="center" vertical="center"/>
      <protection locked="0"/>
    </xf>
    <xf numFmtId="37" fontId="45" fillId="0" borderId="212" xfId="22" applyNumberFormat="1" applyBorder="1" applyAlignment="1" applyProtection="1">
      <alignment horizontal="center" vertical="center"/>
      <protection locked="0"/>
    </xf>
    <xf numFmtId="0" fontId="45" fillId="0" borderId="1" xfId="22" applyAlignment="1">
      <alignment horizontal="center" wrapText="1"/>
    </xf>
    <xf numFmtId="0" fontId="45" fillId="0" borderId="1" xfId="22" applyAlignment="1">
      <alignment wrapText="1"/>
    </xf>
    <xf numFmtId="167" fontId="54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81" fillId="0" borderId="0" xfId="0" applyNumberFormat="1" applyFont="1" applyAlignment="1">
      <alignment horizontal="center"/>
    </xf>
    <xf numFmtId="177" fontId="81" fillId="0" borderId="0" xfId="0" applyNumberFormat="1" applyFont="1"/>
    <xf numFmtId="1" fontId="83" fillId="0" borderId="0" xfId="0" applyNumberFormat="1" applyFont="1"/>
    <xf numFmtId="10" fontId="83" fillId="0" borderId="0" xfId="0" applyNumberFormat="1" applyFont="1"/>
    <xf numFmtId="177" fontId="83" fillId="0" borderId="0" xfId="0" applyNumberFormat="1" applyFont="1"/>
    <xf numFmtId="0" fontId="43" fillId="0" borderId="209" xfId="22" applyFont="1" applyBorder="1" applyAlignment="1" applyProtection="1">
      <alignment horizontal="center" vertical="center" wrapText="1"/>
      <protection locked="0"/>
    </xf>
    <xf numFmtId="10" fontId="73" fillId="0" borderId="15" xfId="0" applyNumberFormat="1" applyFont="1" applyBorder="1"/>
    <xf numFmtId="49" fontId="41" fillId="12" borderId="1" xfId="12" applyNumberFormat="1" applyFont="1" applyFill="1" applyAlignment="1">
      <alignment horizontal="left" vertical="center"/>
    </xf>
    <xf numFmtId="2" fontId="134" fillId="0" borderId="1" xfId="20" applyNumberFormat="1" applyAlignment="1">
      <alignment horizontal="center" vertical="center"/>
    </xf>
    <xf numFmtId="0" fontId="94" fillId="24" borderId="0" xfId="0" applyFont="1" applyFill="1" applyAlignment="1">
      <alignment horizontal="left" vertical="top"/>
    </xf>
    <xf numFmtId="0" fontId="98" fillId="0" borderId="1" xfId="10"/>
    <xf numFmtId="0" fontId="98" fillId="0" borderId="1" xfId="10" applyAlignment="1">
      <alignment horizontal="center"/>
    </xf>
    <xf numFmtId="0" fontId="72" fillId="0" borderId="0" xfId="0" quotePrefix="1" applyFont="1"/>
    <xf numFmtId="10" fontId="82" fillId="0" borderId="0" xfId="0" applyNumberFormat="1" applyFont="1"/>
    <xf numFmtId="0" fontId="81" fillId="0" borderId="0" xfId="0" quotePrefix="1" applyFont="1"/>
    <xf numFmtId="0" fontId="73" fillId="3" borderId="216" xfId="0" applyFont="1" applyFill="1" applyBorder="1"/>
    <xf numFmtId="37" fontId="74" fillId="3" borderId="217" xfId="0" applyNumberFormat="1" applyFont="1" applyFill="1" applyBorder="1"/>
    <xf numFmtId="1" fontId="81" fillId="0" borderId="0" xfId="0" quotePrefix="1" applyNumberFormat="1" applyFont="1"/>
    <xf numFmtId="49" fontId="31" fillId="12" borderId="1" xfId="12" applyNumberFormat="1" applyFont="1" applyFill="1" applyAlignment="1">
      <alignment horizontal="left" vertical="center"/>
    </xf>
    <xf numFmtId="0" fontId="29" fillId="0" borderId="167" xfId="22" applyFont="1" applyBorder="1" applyAlignment="1" applyProtection="1">
      <alignment horizontal="center" vertical="center" wrapText="1"/>
      <protection locked="0"/>
    </xf>
    <xf numFmtId="9" fontId="127" fillId="23" borderId="218" xfId="4" applyFont="1" applyFill="1" applyBorder="1" applyAlignment="1">
      <alignment horizontal="center"/>
    </xf>
    <xf numFmtId="9" fontId="54" fillId="0" borderId="219" xfId="4" applyFont="1" applyFill="1" applyBorder="1" applyAlignment="1">
      <alignment horizontal="center"/>
    </xf>
    <xf numFmtId="9" fontId="54" fillId="23" borderId="219" xfId="4" applyFont="1" applyFill="1" applyBorder="1" applyAlignment="1">
      <alignment horizontal="center"/>
    </xf>
    <xf numFmtId="9" fontId="54" fillId="0" borderId="220" xfId="4" applyFont="1" applyFill="1" applyBorder="1" applyAlignment="1">
      <alignment horizontal="center"/>
    </xf>
    <xf numFmtId="9" fontId="54" fillId="0" borderId="219" xfId="4" applyFont="1" applyBorder="1" applyAlignment="1">
      <alignment horizontal="center"/>
    </xf>
    <xf numFmtId="9" fontId="54" fillId="0" borderId="221" xfId="4" applyFont="1" applyBorder="1" applyAlignment="1">
      <alignment horizontal="center"/>
    </xf>
    <xf numFmtId="0" fontId="127" fillId="17" borderId="173" xfId="3" applyFont="1" applyFill="1" applyBorder="1" applyAlignment="1">
      <alignment horizontal="center"/>
    </xf>
    <xf numFmtId="9" fontId="54" fillId="0" borderId="220" xfId="4" applyFont="1" applyBorder="1" applyAlignment="1">
      <alignment horizontal="center"/>
    </xf>
    <xf numFmtId="0" fontId="127" fillId="16" borderId="173" xfId="3" applyFont="1" applyFill="1" applyBorder="1" applyAlignment="1">
      <alignment horizontal="center"/>
    </xf>
    <xf numFmtId="9" fontId="127" fillId="23" borderId="219" xfId="4" applyFont="1" applyFill="1" applyBorder="1" applyAlignment="1">
      <alignment horizontal="center"/>
    </xf>
    <xf numFmtId="0" fontId="127" fillId="11" borderId="173" xfId="3" applyFont="1" applyFill="1" applyBorder="1" applyAlignment="1">
      <alignment horizontal="center"/>
    </xf>
    <xf numFmtId="9" fontId="54" fillId="0" borderId="221" xfId="4" applyFont="1" applyFill="1" applyBorder="1" applyAlignment="1">
      <alignment horizontal="center"/>
    </xf>
    <xf numFmtId="0" fontId="127" fillId="18" borderId="173" xfId="3" applyFont="1" applyFill="1" applyBorder="1" applyAlignment="1">
      <alignment horizontal="center"/>
    </xf>
    <xf numFmtId="0" fontId="127" fillId="21" borderId="173" xfId="3" applyFont="1" applyFill="1" applyBorder="1" applyAlignment="1">
      <alignment horizontal="center"/>
    </xf>
    <xf numFmtId="0" fontId="28" fillId="0" borderId="1" xfId="55"/>
    <xf numFmtId="2" fontId="143" fillId="0" borderId="1" xfId="55" applyNumberFormat="1" applyFont="1" applyAlignment="1">
      <alignment horizontal="center"/>
    </xf>
    <xf numFmtId="0" fontId="143" fillId="0" borderId="1" xfId="55" applyFont="1"/>
    <xf numFmtId="2" fontId="28" fillId="0" borderId="1" xfId="55" applyNumberFormat="1" applyAlignment="1">
      <alignment horizontal="center"/>
    </xf>
    <xf numFmtId="0" fontId="144" fillId="0" borderId="1" xfId="55" applyFont="1"/>
    <xf numFmtId="2" fontId="127" fillId="21" borderId="129" xfId="55" applyNumberFormat="1" applyFont="1" applyFill="1" applyBorder="1" applyAlignment="1">
      <alignment horizontal="center"/>
    </xf>
    <xf numFmtId="2" fontId="127" fillId="21" borderId="170" xfId="55" applyNumberFormat="1" applyFont="1" applyFill="1" applyBorder="1" applyAlignment="1">
      <alignment horizontal="center"/>
    </xf>
    <xf numFmtId="0" fontId="28" fillId="0" borderId="55" xfId="55" applyBorder="1"/>
    <xf numFmtId="0" fontId="28" fillId="0" borderId="172" xfId="55" applyBorder="1"/>
    <xf numFmtId="0" fontId="127" fillId="0" borderId="173" xfId="56" applyFont="1" applyBorder="1"/>
    <xf numFmtId="0" fontId="28" fillId="25" borderId="171" xfId="55" applyFill="1" applyBorder="1"/>
    <xf numFmtId="37" fontId="127" fillId="0" borderId="129" xfId="55" applyNumberFormat="1" applyFont="1" applyBorder="1" applyAlignment="1">
      <alignment horizontal="center"/>
    </xf>
    <xf numFmtId="37" fontId="127" fillId="0" borderId="170" xfId="55" applyNumberFormat="1" applyFont="1" applyBorder="1" applyAlignment="1">
      <alignment horizontal="center"/>
    </xf>
    <xf numFmtId="171" fontId="127" fillId="0" borderId="170" xfId="57" applyNumberFormat="1" applyFont="1" applyBorder="1" applyAlignment="1">
      <alignment horizontal="center"/>
    </xf>
    <xf numFmtId="0" fontId="142" fillId="0" borderId="1" xfId="55" applyFont="1"/>
    <xf numFmtId="0" fontId="28" fillId="0" borderId="173" xfId="55" applyBorder="1"/>
    <xf numFmtId="0" fontId="28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8" fillId="0" borderId="171" xfId="55" applyBorder="1" applyAlignment="1">
      <alignment horizontal="left"/>
    </xf>
    <xf numFmtId="37" fontId="28" fillId="0" borderId="214" xfId="55" applyNumberFormat="1" applyBorder="1" applyAlignment="1">
      <alignment horizontal="center"/>
    </xf>
    <xf numFmtId="37" fontId="28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7" fillId="0" borderId="171" xfId="55" applyFont="1" applyBorder="1"/>
    <xf numFmtId="37" fontId="127" fillId="0" borderId="214" xfId="58" applyNumberFormat="1" applyFont="1" applyBorder="1" applyAlignment="1">
      <alignment horizontal="center"/>
    </xf>
    <xf numFmtId="37" fontId="127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8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2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8" fillId="0" borderId="174" xfId="55" applyBorder="1" applyAlignment="1">
      <alignment horizontal="left"/>
    </xf>
    <xf numFmtId="0" fontId="28" fillId="0" borderId="214" xfId="55" applyBorder="1"/>
    <xf numFmtId="171" fontId="0" fillId="0" borderId="175" xfId="57" applyNumberFormat="1" applyFont="1" applyBorder="1" applyAlignment="1">
      <alignment horizontal="center"/>
    </xf>
    <xf numFmtId="2" fontId="28" fillId="0" borderId="175" xfId="55" applyNumberFormat="1" applyBorder="1" applyAlignment="1">
      <alignment horizontal="center"/>
    </xf>
    <xf numFmtId="0" fontId="28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7" fillId="0" borderId="215" xfId="58" applyNumberFormat="1" applyFont="1" applyBorder="1" applyAlignment="1">
      <alignment horizontal="center"/>
    </xf>
    <xf numFmtId="37" fontId="145" fillId="0" borderId="223" xfId="58" applyNumberFormat="1" applyFont="1" applyBorder="1" applyAlignment="1">
      <alignment horizontal="center"/>
    </xf>
    <xf numFmtId="0" fontId="127" fillId="0" borderId="174" xfId="55" applyFont="1" applyBorder="1"/>
    <xf numFmtId="37" fontId="127" fillId="0" borderId="175" xfId="58" applyNumberFormat="1" applyFont="1" applyBorder="1" applyAlignment="1">
      <alignment horizontal="center"/>
    </xf>
    <xf numFmtId="0" fontId="141" fillId="0" borderId="1" xfId="55" applyFont="1"/>
    <xf numFmtId="0" fontId="28" fillId="25" borderId="169" xfId="55" applyFill="1" applyBorder="1"/>
    <xf numFmtId="0" fontId="127" fillId="0" borderId="1" xfId="55" applyFont="1"/>
    <xf numFmtId="0" fontId="28" fillId="0" borderId="1" xfId="55" applyAlignment="1">
      <alignment horizontal="center"/>
    </xf>
    <xf numFmtId="2" fontId="141" fillId="0" borderId="1" xfId="55" applyNumberFormat="1" applyFont="1" applyAlignment="1">
      <alignment horizontal="center"/>
    </xf>
    <xf numFmtId="2" fontId="28" fillId="0" borderId="1" xfId="55" applyNumberFormat="1"/>
    <xf numFmtId="1" fontId="63" fillId="12" borderId="174" xfId="55" applyNumberFormat="1" applyFont="1" applyFill="1" applyBorder="1" applyAlignment="1">
      <alignment horizontal="left" vertical="top"/>
    </xf>
    <xf numFmtId="178" fontId="28" fillId="24" borderId="1" xfId="55" applyNumberFormat="1" applyFill="1" applyAlignment="1">
      <alignment horizontal="center"/>
    </xf>
    <xf numFmtId="0" fontId="127" fillId="0" borderId="1" xfId="55" applyFont="1" applyAlignment="1">
      <alignment horizontal="center" vertical="center"/>
    </xf>
    <xf numFmtId="0" fontId="127" fillId="0" borderId="173" xfId="55" applyFont="1" applyBorder="1" applyAlignment="1">
      <alignment horizontal="center" vertical="center"/>
    </xf>
    <xf numFmtId="0" fontId="127" fillId="0" borderId="169" xfId="55" applyFont="1" applyBorder="1" applyAlignment="1">
      <alignment horizontal="center" vertical="center"/>
    </xf>
    <xf numFmtId="0" fontId="127" fillId="0" borderId="169" xfId="55" applyFont="1" applyBorder="1" applyAlignment="1">
      <alignment horizontal="center" wrapText="1"/>
    </xf>
    <xf numFmtId="0" fontId="28" fillId="0" borderId="1" xfId="55" applyAlignment="1">
      <alignment horizontal="center" vertical="center"/>
    </xf>
    <xf numFmtId="0" fontId="127" fillId="0" borderId="173" xfId="55" applyFont="1" applyBorder="1" applyAlignment="1">
      <alignment horizontal="center"/>
    </xf>
    <xf numFmtId="3" fontId="28" fillId="12" borderId="171" xfId="55" applyNumberFormat="1" applyFill="1" applyBorder="1" applyAlignment="1">
      <alignment horizontal="center"/>
    </xf>
    <xf numFmtId="2" fontId="127" fillId="0" borderId="171" xfId="55" applyNumberFormat="1" applyFont="1" applyBorder="1" applyAlignment="1">
      <alignment horizontal="center"/>
    </xf>
    <xf numFmtId="0" fontId="127" fillId="0" borderId="171" xfId="55" applyFont="1" applyBorder="1" applyAlignment="1">
      <alignment horizontal="center"/>
    </xf>
    <xf numFmtId="0" fontId="127" fillId="0" borderId="174" xfId="55" applyFont="1" applyBorder="1" applyAlignment="1">
      <alignment horizontal="center"/>
    </xf>
    <xf numFmtId="3" fontId="28" fillId="12" borderId="174" xfId="55" applyNumberFormat="1" applyFill="1" applyBorder="1" applyAlignment="1">
      <alignment horizontal="center"/>
    </xf>
    <xf numFmtId="10" fontId="81" fillId="0" borderId="0" xfId="0" quotePrefix="1" applyNumberFormat="1" applyFont="1"/>
    <xf numFmtId="37" fontId="50" fillId="22" borderId="214" xfId="3" applyNumberFormat="1" applyFont="1" applyFill="1" applyBorder="1" applyAlignment="1">
      <alignment horizontal="center"/>
    </xf>
    <xf numFmtId="0" fontId="23" fillId="0" borderId="1" xfId="62"/>
    <xf numFmtId="49" fontId="91" fillId="0" borderId="214" xfId="62" applyNumberFormat="1" applyFont="1" applyBorder="1" applyAlignment="1">
      <alignment horizontal="center" vertical="center"/>
    </xf>
    <xf numFmtId="49" fontId="91" fillId="0" borderId="1" xfId="62" applyNumberFormat="1" applyFont="1" applyAlignment="1">
      <alignment horizontal="center" vertical="center"/>
    </xf>
    <xf numFmtId="3" fontId="91" fillId="0" borderId="1" xfId="62" applyNumberFormat="1" applyFont="1" applyAlignment="1">
      <alignment horizontal="center" vertical="center"/>
    </xf>
    <xf numFmtId="49" fontId="91" fillId="0" borderId="172" xfId="62" applyNumberFormat="1" applyFont="1" applyBorder="1" applyAlignment="1">
      <alignment horizontal="center" vertical="center"/>
    </xf>
    <xf numFmtId="0" fontId="23" fillId="0" borderId="214" xfId="62" applyBorder="1" applyAlignment="1">
      <alignment horizontal="center"/>
    </xf>
    <xf numFmtId="0" fontId="23" fillId="0" borderId="1" xfId="62" applyAlignment="1">
      <alignment horizontal="center"/>
    </xf>
    <xf numFmtId="3" fontId="23" fillId="0" borderId="1" xfId="62" applyNumberFormat="1" applyAlignment="1">
      <alignment horizontal="center"/>
    </xf>
    <xf numFmtId="0" fontId="23" fillId="0" borderId="172" xfId="62" applyBorder="1" applyAlignment="1">
      <alignment horizontal="center"/>
    </xf>
    <xf numFmtId="0" fontId="147" fillId="0" borderId="227" xfId="0" applyFont="1" applyBorder="1" applyAlignment="1">
      <alignment horizontal="center"/>
    </xf>
    <xf numFmtId="17" fontId="147" fillId="0" borderId="173" xfId="0" quotePrefix="1" applyNumberFormat="1" applyFont="1" applyBorder="1" applyAlignment="1">
      <alignment horizontal="center"/>
    </xf>
    <xf numFmtId="17" fontId="147" fillId="0" borderId="56" xfId="0" quotePrefix="1" applyNumberFormat="1" applyFont="1" applyBorder="1" applyAlignment="1">
      <alignment horizontal="center"/>
    </xf>
    <xf numFmtId="0" fontId="98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8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0" fontId="20" fillId="0" borderId="1" xfId="62" applyFont="1" applyAlignment="1">
      <alignment horizontal="center"/>
    </xf>
    <xf numFmtId="0" fontId="19" fillId="0" borderId="1" xfId="62" applyFont="1" applyAlignment="1">
      <alignment horizontal="center"/>
    </xf>
    <xf numFmtId="0" fontId="19" fillId="0" borderId="172" xfId="62" applyFont="1" applyBorder="1" applyAlignment="1">
      <alignment horizontal="center"/>
    </xf>
    <xf numFmtId="0" fontId="127" fillId="19" borderId="173" xfId="3" applyFont="1" applyFill="1" applyBorder="1" applyAlignment="1">
      <alignment horizontal="center"/>
    </xf>
    <xf numFmtId="0" fontId="82" fillId="3" borderId="228" xfId="0" applyFont="1" applyFill="1" applyBorder="1"/>
    <xf numFmtId="0" fontId="82" fillId="3" borderId="229" xfId="0" applyFont="1" applyFill="1" applyBorder="1"/>
    <xf numFmtId="0" fontId="82" fillId="3" borderId="229" xfId="0" applyFont="1" applyFill="1" applyBorder="1" applyAlignment="1">
      <alignment horizontal="center"/>
    </xf>
    <xf numFmtId="171" fontId="82" fillId="3" borderId="229" xfId="0" applyNumberFormat="1" applyFont="1" applyFill="1" applyBorder="1"/>
    <xf numFmtId="37" fontId="82" fillId="3" borderId="230" xfId="0" applyNumberFormat="1" applyFont="1" applyFill="1" applyBorder="1"/>
    <xf numFmtId="37" fontId="82" fillId="3" borderId="229" xfId="0" applyNumberFormat="1" applyFont="1" applyFill="1" applyBorder="1"/>
    <xf numFmtId="37" fontId="82" fillId="3" borderId="231" xfId="0" applyNumberFormat="1" applyFont="1" applyFill="1" applyBorder="1"/>
    <xf numFmtId="171" fontId="82" fillId="3" borderId="232" xfId="0" applyNumberFormat="1" applyFont="1" applyFill="1" applyBorder="1"/>
    <xf numFmtId="37" fontId="82" fillId="3" borderId="233" xfId="0" applyNumberFormat="1" applyFont="1" applyFill="1" applyBorder="1"/>
    <xf numFmtId="171" fontId="82" fillId="3" borderId="234" xfId="0" applyNumberFormat="1" applyFont="1" applyFill="1" applyBorder="1"/>
    <xf numFmtId="10" fontId="72" fillId="0" borderId="0" xfId="0" applyNumberFormat="1" applyFont="1"/>
    <xf numFmtId="0" fontId="149" fillId="0" borderId="1" xfId="3" applyFont="1"/>
    <xf numFmtId="179" fontId="149" fillId="0" borderId="1" xfId="70" applyNumberFormat="1" applyFont="1" applyBorder="1"/>
    <xf numFmtId="0" fontId="150" fillId="0" borderId="1" xfId="3" applyFont="1"/>
    <xf numFmtId="0" fontId="149" fillId="0" borderId="1" xfId="3" applyFont="1" applyAlignment="1">
      <alignment horizontal="center"/>
    </xf>
    <xf numFmtId="0" fontId="13" fillId="0" borderId="214" xfId="62" applyFont="1" applyBorder="1" applyAlignment="1">
      <alignment horizontal="center"/>
    </xf>
    <xf numFmtId="0" fontId="13" fillId="0" borderId="1" xfId="62" applyFont="1" applyAlignment="1">
      <alignment horizontal="center"/>
    </xf>
    <xf numFmtId="0" fontId="12" fillId="0" borderId="208" xfId="22" applyFont="1" applyBorder="1" applyAlignment="1" applyProtection="1">
      <alignment horizontal="center" vertical="center" wrapText="1"/>
      <protection locked="0"/>
    </xf>
    <xf numFmtId="0" fontId="10" fillId="0" borderId="1" xfId="62" applyFont="1" applyAlignment="1">
      <alignment horizontal="center"/>
    </xf>
    <xf numFmtId="0" fontId="6" fillId="0" borderId="1" xfId="62" applyFont="1" applyAlignment="1">
      <alignment horizontal="center"/>
    </xf>
    <xf numFmtId="0" fontId="98" fillId="0" borderId="215" xfId="0" applyFont="1" applyBorder="1"/>
    <xf numFmtId="0" fontId="38" fillId="0" borderId="208" xfId="22" applyFont="1" applyBorder="1" applyAlignment="1" applyProtection="1">
      <alignment horizontal="left" vertical="center" wrapText="1"/>
      <protection locked="0"/>
    </xf>
    <xf numFmtId="0" fontId="24" fillId="0" borderId="208" xfId="22" applyFont="1" applyBorder="1" applyAlignment="1" applyProtection="1">
      <alignment horizontal="left" vertical="center" wrapText="1"/>
      <protection locked="0"/>
    </xf>
    <xf numFmtId="0" fontId="6" fillId="0" borderId="208" xfId="22" applyFont="1" applyBorder="1" applyAlignment="1" applyProtection="1">
      <alignment horizontal="left" vertical="center" wrapText="1"/>
      <protection locked="0"/>
    </xf>
    <xf numFmtId="37" fontId="81" fillId="23" borderId="0" xfId="0" applyNumberFormat="1" applyFont="1" applyFill="1"/>
    <xf numFmtId="1" fontId="73" fillId="0" borderId="1" xfId="0" applyNumberFormat="1" applyFont="1" applyBorder="1"/>
    <xf numFmtId="1" fontId="73" fillId="0" borderId="22" xfId="0" applyNumberFormat="1" applyFont="1" applyBorder="1"/>
    <xf numFmtId="1" fontId="73" fillId="0" borderId="24" xfId="0" applyNumberFormat="1" applyFont="1" applyBorder="1"/>
    <xf numFmtId="0" fontId="98" fillId="0" borderId="202" xfId="10" applyBorder="1"/>
    <xf numFmtId="0" fontId="98" fillId="0" borderId="208" xfId="10" applyBorder="1"/>
    <xf numFmtId="179" fontId="98" fillId="0" borderId="202" xfId="10" applyNumberFormat="1" applyBorder="1" applyAlignment="1">
      <alignment horizontal="right"/>
    </xf>
    <xf numFmtId="179" fontId="98" fillId="0" borderId="200" xfId="10" applyNumberFormat="1" applyBorder="1" applyAlignment="1">
      <alignment horizontal="right"/>
    </xf>
    <xf numFmtId="179" fontId="98" fillId="0" borderId="208" xfId="10" applyNumberFormat="1" applyBorder="1" applyAlignment="1">
      <alignment horizontal="right"/>
    </xf>
    <xf numFmtId="179" fontId="98" fillId="0" borderId="1" xfId="10" applyNumberFormat="1" applyAlignment="1">
      <alignment horizontal="right"/>
    </xf>
    <xf numFmtId="0" fontId="126" fillId="0" borderId="235" xfId="10" applyFont="1" applyBorder="1"/>
    <xf numFmtId="179" fontId="126" fillId="0" borderId="235" xfId="10" applyNumberFormat="1" applyFont="1" applyBorder="1" applyAlignment="1">
      <alignment horizontal="right"/>
    </xf>
    <xf numFmtId="179" fontId="126" fillId="0" borderId="236" xfId="10" applyNumberFormat="1" applyFont="1" applyBorder="1" applyAlignment="1">
      <alignment horizontal="right"/>
    </xf>
    <xf numFmtId="0" fontId="98" fillId="0" borderId="240" xfId="10" applyBorder="1"/>
    <xf numFmtId="179" fontId="98" fillId="0" borderId="240" xfId="10" applyNumberFormat="1" applyBorder="1" applyAlignment="1">
      <alignment horizontal="right"/>
    </xf>
    <xf numFmtId="179" fontId="98" fillId="0" borderId="241" xfId="10" applyNumberFormat="1" applyBorder="1" applyAlignment="1">
      <alignment horizontal="right"/>
    </xf>
    <xf numFmtId="37" fontId="72" fillId="0" borderId="0" xfId="0" applyNumberFormat="1" applyFont="1"/>
    <xf numFmtId="0" fontId="98" fillId="0" borderId="1" xfId="10" applyAlignment="1">
      <alignment vertical="center" wrapText="1"/>
    </xf>
    <xf numFmtId="0" fontId="126" fillId="0" borderId="202" xfId="10" applyFont="1" applyBorder="1" applyAlignment="1">
      <alignment horizontal="center" vertical="center" wrapText="1"/>
    </xf>
    <xf numFmtId="0" fontId="126" fillId="0" borderId="200" xfId="10" applyFont="1" applyBorder="1" applyAlignment="1">
      <alignment horizontal="center" vertical="center" wrapText="1"/>
    </xf>
    <xf numFmtId="37" fontId="81" fillId="29" borderId="0" xfId="0" applyNumberFormat="1" applyFont="1" applyFill="1"/>
    <xf numFmtId="0" fontId="2" fillId="0" borderId="208" xfId="22" applyFont="1" applyBorder="1" applyAlignment="1" applyProtection="1">
      <alignment horizontal="left" vertical="center" wrapText="1"/>
      <protection locked="0"/>
    </xf>
    <xf numFmtId="0" fontId="98" fillId="0" borderId="202" xfId="10" applyBorder="1" applyAlignment="1">
      <alignment vertical="center" wrapText="1"/>
    </xf>
    <xf numFmtId="0" fontId="98" fillId="0" borderId="210" xfId="10" applyBorder="1" applyAlignment="1">
      <alignment vertical="center" wrapText="1"/>
    </xf>
    <xf numFmtId="37" fontId="98" fillId="0" borderId="199" xfId="10" applyNumberFormat="1" applyBorder="1" applyAlignment="1">
      <alignment horizontal="center" vertical="center" wrapText="1"/>
    </xf>
    <xf numFmtId="0" fontId="98" fillId="0" borderId="202" xfId="10" applyBorder="1" applyAlignment="1">
      <alignment horizontal="center" vertical="center" wrapText="1"/>
    </xf>
    <xf numFmtId="37" fontId="98" fillId="0" borderId="202" xfId="10" applyNumberFormat="1" applyBorder="1" applyAlignment="1">
      <alignment horizontal="center" vertical="center" wrapText="1"/>
    </xf>
    <xf numFmtId="37" fontId="98" fillId="0" borderId="200" xfId="10" applyNumberFormat="1" applyBorder="1" applyAlignment="1">
      <alignment horizontal="center" vertical="center" wrapText="1"/>
    </xf>
    <xf numFmtId="3" fontId="98" fillId="0" borderId="203" xfId="10" applyNumberFormat="1" applyBorder="1" applyAlignment="1">
      <alignment horizontal="center" vertical="center" wrapText="1"/>
    </xf>
    <xf numFmtId="0" fontId="98" fillId="0" borderId="210" xfId="10" applyBorder="1" applyAlignment="1">
      <alignment horizontal="center" vertical="center" wrapText="1"/>
    </xf>
    <xf numFmtId="3" fontId="98" fillId="0" borderId="210" xfId="10" applyNumberFormat="1" applyBorder="1" applyAlignment="1">
      <alignment horizontal="center" vertical="center" wrapText="1"/>
    </xf>
    <xf numFmtId="3" fontId="98" fillId="0" borderId="212" xfId="10" applyNumberFormat="1" applyBorder="1" applyAlignment="1">
      <alignment horizontal="center" vertical="center" wrapText="1"/>
    </xf>
    <xf numFmtId="0" fontId="81" fillId="25" borderId="0" xfId="0" applyFont="1" applyFill="1"/>
    <xf numFmtId="0" fontId="126" fillId="31" borderId="237" xfId="10" applyFont="1" applyFill="1" applyBorder="1" applyAlignment="1">
      <alignment horizontal="center" vertical="center" wrapText="1"/>
    </xf>
    <xf numFmtId="37" fontId="98" fillId="31" borderId="237" xfId="10" applyNumberFormat="1" applyFill="1" applyBorder="1" applyAlignment="1">
      <alignment horizontal="center" vertical="center" wrapText="1"/>
    </xf>
    <xf numFmtId="37" fontId="98" fillId="31" borderId="243" xfId="10" applyNumberFormat="1" applyFill="1" applyBorder="1" applyAlignment="1">
      <alignment horizontal="center" vertical="center" wrapText="1"/>
    </xf>
    <xf numFmtId="179" fontId="98" fillId="31" borderId="238" xfId="10" applyNumberFormat="1" applyFill="1" applyBorder="1" applyAlignment="1">
      <alignment horizontal="right"/>
    </xf>
    <xf numFmtId="179" fontId="98" fillId="31" borderId="242" xfId="10" applyNumberFormat="1" applyFill="1" applyBorder="1" applyAlignment="1">
      <alignment horizontal="right"/>
    </xf>
    <xf numFmtId="179" fontId="98" fillId="31" borderId="237" xfId="10" applyNumberFormat="1" applyFill="1" applyBorder="1" applyAlignment="1">
      <alignment horizontal="right"/>
    </xf>
    <xf numFmtId="179" fontId="126" fillId="31" borderId="239" xfId="10" applyNumberFormat="1" applyFont="1" applyFill="1" applyBorder="1" applyAlignment="1">
      <alignment horizontal="right"/>
    </xf>
    <xf numFmtId="3" fontId="73" fillId="0" borderId="0" xfId="0" applyNumberFormat="1" applyFont="1"/>
    <xf numFmtId="0" fontId="109" fillId="0" borderId="55" xfId="2" applyFont="1" applyBorder="1" applyAlignment="1">
      <alignment horizontal="center"/>
    </xf>
    <xf numFmtId="0" fontId="109" fillId="0" borderId="0" xfId="0" applyFont="1" applyAlignment="1">
      <alignment horizontal="center"/>
    </xf>
    <xf numFmtId="0" fontId="127" fillId="18" borderId="199" xfId="22" applyFont="1" applyFill="1" applyBorder="1" applyAlignment="1">
      <alignment horizontal="center" vertical="center" wrapText="1"/>
    </xf>
    <xf numFmtId="0" fontId="127" fillId="18" borderId="203" xfId="22" applyFont="1" applyFill="1" applyBorder="1" applyAlignment="1">
      <alignment horizontal="center" vertical="center" wrapText="1"/>
    </xf>
    <xf numFmtId="0" fontId="128" fillId="11" borderId="204" xfId="22" applyFont="1" applyFill="1" applyBorder="1" applyAlignment="1">
      <alignment horizontal="center" vertical="center" wrapText="1"/>
    </xf>
    <xf numFmtId="0" fontId="128" fillId="11" borderId="205" xfId="22" applyFont="1" applyFill="1" applyBorder="1" applyAlignment="1">
      <alignment horizontal="center" vertical="center" wrapText="1"/>
    </xf>
    <xf numFmtId="0" fontId="143" fillId="0" borderId="224" xfId="62" applyFont="1" applyBorder="1" applyAlignment="1">
      <alignment horizontal="center" wrapText="1"/>
    </xf>
    <xf numFmtId="0" fontId="143" fillId="0" borderId="225" xfId="62" applyFont="1" applyBorder="1" applyAlignment="1">
      <alignment horizontal="center" wrapText="1"/>
    </xf>
    <xf numFmtId="0" fontId="143" fillId="0" borderId="226" xfId="62" applyFont="1" applyBorder="1" applyAlignment="1">
      <alignment horizontal="center" wrapText="1"/>
    </xf>
    <xf numFmtId="0" fontId="127" fillId="0" borderId="129" xfId="55" applyFont="1" applyBorder="1" applyAlignment="1">
      <alignment horizontal="center"/>
    </xf>
    <xf numFmtId="0" fontId="127" fillId="0" borderId="170" xfId="55" applyFont="1" applyBorder="1" applyAlignment="1">
      <alignment horizontal="center"/>
    </xf>
    <xf numFmtId="0" fontId="143" fillId="0" borderId="1" xfId="55" applyFont="1" applyAlignment="1">
      <alignment horizontal="left" vertical="center"/>
    </xf>
    <xf numFmtId="2" fontId="127" fillId="21" borderId="129" xfId="55" applyNumberFormat="1" applyFont="1" applyFill="1" applyBorder="1" applyAlignment="1">
      <alignment horizontal="center"/>
    </xf>
    <xf numFmtId="2" fontId="127" fillId="21" borderId="131" xfId="55" applyNumberFormat="1" applyFont="1" applyFill="1" applyBorder="1" applyAlignment="1">
      <alignment horizontal="center"/>
    </xf>
    <xf numFmtId="2" fontId="127" fillId="21" borderId="170" xfId="55" applyNumberFormat="1" applyFont="1" applyFill="1" applyBorder="1" applyAlignment="1">
      <alignment horizontal="center"/>
    </xf>
    <xf numFmtId="2" fontId="127" fillId="21" borderId="129" xfId="55" applyNumberFormat="1" applyFont="1" applyFill="1" applyBorder="1" applyAlignment="1">
      <alignment horizontal="center" wrapText="1"/>
    </xf>
    <xf numFmtId="2" fontId="127" fillId="21" borderId="131" xfId="55" applyNumberFormat="1" applyFont="1" applyFill="1" applyBorder="1" applyAlignment="1">
      <alignment horizontal="center" wrapText="1"/>
    </xf>
    <xf numFmtId="2" fontId="127" fillId="21" borderId="170" xfId="55" applyNumberFormat="1" applyFont="1" applyFill="1" applyBorder="1" applyAlignment="1">
      <alignment horizontal="center" wrapText="1"/>
    </xf>
    <xf numFmtId="0" fontId="127" fillId="0" borderId="1" xfId="55" applyFont="1" applyAlignment="1">
      <alignment horizontal="center"/>
    </xf>
    <xf numFmtId="0" fontId="74" fillId="0" borderId="68" xfId="0" applyFont="1" applyBorder="1" applyAlignment="1">
      <alignment horizontal="center"/>
    </xf>
    <xf numFmtId="0" fontId="75" fillId="0" borderId="68" xfId="0" applyFont="1" applyBorder="1"/>
    <xf numFmtId="0" fontId="75" fillId="0" borderId="69" xfId="0" applyFont="1" applyBorder="1"/>
    <xf numFmtId="0" fontId="74" fillId="0" borderId="26" xfId="0" applyFont="1" applyBorder="1" applyAlignment="1">
      <alignment horizontal="center"/>
    </xf>
    <xf numFmtId="0" fontId="75" fillId="0" borderId="27" xfId="0" applyFont="1" applyBorder="1"/>
    <xf numFmtId="0" fontId="74" fillId="0" borderId="71" xfId="0" applyFont="1" applyBorder="1" applyAlignment="1">
      <alignment horizontal="center"/>
    </xf>
    <xf numFmtId="0" fontId="74" fillId="0" borderId="92" xfId="0" applyFont="1" applyBorder="1" applyAlignment="1">
      <alignment horizontal="center" vertical="center"/>
    </xf>
    <xf numFmtId="0" fontId="75" fillId="0" borderId="90" xfId="0" applyFont="1" applyBorder="1"/>
    <xf numFmtId="0" fontId="75" fillId="0" borderId="93" xfId="0" applyFont="1" applyBorder="1"/>
    <xf numFmtId="0" fontId="75" fillId="0" borderId="64" xfId="0" applyFont="1" applyBorder="1"/>
    <xf numFmtId="0" fontId="74" fillId="0" borderId="90" xfId="0" applyFont="1" applyBorder="1" applyAlignment="1">
      <alignment horizontal="center" vertical="center"/>
    </xf>
    <xf numFmtId="0" fontId="75" fillId="0" borderId="91" xfId="0" applyFont="1" applyBorder="1"/>
    <xf numFmtId="0" fontId="63" fillId="28" borderId="173" xfId="0" applyFont="1" applyFill="1" applyBorder="1" applyAlignment="1">
      <alignment vertical="center" wrapText="1"/>
    </xf>
    <xf numFmtId="0" fontId="63" fillId="28" borderId="171" xfId="0" applyFont="1" applyFill="1" applyBorder="1" applyAlignment="1">
      <alignment vertical="center" wrapText="1"/>
    </xf>
    <xf numFmtId="0" fontId="63" fillId="28" borderId="174" xfId="0" applyFont="1" applyFill="1" applyBorder="1" applyAlignment="1">
      <alignment vertical="center" wrapText="1"/>
    </xf>
    <xf numFmtId="0" fontId="128" fillId="0" borderId="55" xfId="3" applyFont="1" applyBorder="1" applyAlignment="1">
      <alignment horizontal="center"/>
    </xf>
    <xf numFmtId="17" fontId="74" fillId="30" borderId="204" xfId="10" quotePrefix="1" applyNumberFormat="1" applyFont="1" applyFill="1" applyBorder="1" applyAlignment="1">
      <alignment horizontal="center"/>
    </xf>
    <xf numFmtId="17" fontId="74" fillId="30" borderId="206" xfId="10" quotePrefix="1" applyNumberFormat="1" applyFont="1" applyFill="1" applyBorder="1" applyAlignment="1">
      <alignment horizontal="center"/>
    </xf>
    <xf numFmtId="17" fontId="74" fillId="30" borderId="205" xfId="10" quotePrefix="1" applyNumberFormat="1" applyFont="1" applyFill="1" applyBorder="1" applyAlignment="1">
      <alignment horizontal="center"/>
    </xf>
  </cellXfs>
  <cellStyles count="81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297</v>
      </c>
      <c r="C3" s="155">
        <f>+VLOOKUP(B3,$K$3:$L$14,2,0)</f>
        <v>4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>X</v>
      </c>
      <c r="N6" s="155" t="str">
        <f t="shared" si="1"/>
        <v>X</v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6" workbookViewId="0">
      <selection activeCell="B5" sqref="B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Avril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1999437.0699999998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1999437.0699999998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1458301.75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146427.84999999998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131631.39000000001</v>
      </c>
      <c r="C10" s="465"/>
      <c r="D10" s="10" t="s">
        <v>16</v>
      </c>
      <c r="E10" s="492">
        <f>-SUMIFS(BV_Data_An_Cour!$P:$P,BV_Data_An_Cour!$U:$U,$A$1,BV_Data_An_Cour!$V:$V,$D10)</f>
        <v>198236.38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83181.14</v>
      </c>
      <c r="C11" s="465"/>
      <c r="D11" s="10" t="s">
        <v>18</v>
      </c>
      <c r="E11" s="492">
        <f>-SUMIFS(BV_Data_An_Cour!$P:$P,BV_Data_An_Cour!$U:$U,$A$1,BV_Data_An_Cour!$V:$V,$D11)</f>
        <v>83154.009999999995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9862.56</v>
      </c>
      <c r="C12" s="465"/>
      <c r="D12" s="10" t="s">
        <v>20</v>
      </c>
      <c r="E12" s="492">
        <f>-SUMIFS(BV_Data_An_Cour!$P:$P,BV_Data_An_Cour!$U:$U,$A$1,BV_Data_An_Cour!$V:$V,$D12)</f>
        <v>867228.05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99853.99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86400</v>
      </c>
      <c r="C14" s="465"/>
      <c r="D14" s="10" t="s">
        <v>24</v>
      </c>
      <c r="E14" s="492">
        <f>-SUMIFS(BV_Data_An_Cour!$P:$P,BV_Data_An_Cour!$U:$U,$A$1,BV_Data_An_Cour!$V:$V,$D14)</f>
        <v>163854.91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17533.8</v>
      </c>
      <c r="C15" s="465"/>
      <c r="D15" s="10" t="s">
        <v>26</v>
      </c>
      <c r="E15" s="492">
        <f>-SUMIFS(BV_Data_An_Cour!$P:$P,BV_Data_An_Cour!$U:$U,$A$1,BV_Data_An_Cour!$V:$V,$D15)</f>
        <v>382442.56000000006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1933338.4900000002</v>
      </c>
      <c r="C16" s="466"/>
      <c r="D16" s="9" t="s">
        <v>28</v>
      </c>
      <c r="E16" s="498">
        <f>+SUM(E10:E15)</f>
        <v>1794769.9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6367035.0000000009</v>
      </c>
      <c r="C18" s="465"/>
      <c r="D18" s="10" t="s">
        <v>30</v>
      </c>
      <c r="E18" s="492">
        <f>-SUMIFS(BV_Data_An_Cour!$P:$P,BV_Data_An_Cour!$U:$U,$A$1,BV_Data_An_Cour!$V:$V,$D18)</f>
        <v>8488042.6899999995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2063058.65</v>
      </c>
      <c r="C19" s="465"/>
      <c r="D19" s="10" t="s">
        <v>32</v>
      </c>
      <c r="E19" s="492">
        <f>-SUMIFS(BV_Data_An_Cour!$P:$P,BV_Data_An_Cour!$U:$U,$A$1,BV_Data_An_Cour!$V:$V,$D19)</f>
        <v>937246.05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520521</v>
      </c>
      <c r="C20" s="465"/>
      <c r="D20" s="9" t="s">
        <v>34</v>
      </c>
      <c r="E20" s="498">
        <f>+SUM(E18:E19)</f>
        <v>9425288.7400000002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8950614.6500000004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346036.22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8220.2999999999975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8749.73</v>
      </c>
      <c r="C24" s="465"/>
      <c r="D24" s="10" t="s">
        <v>40</v>
      </c>
      <c r="E24" s="492">
        <f>-SUMIFS(BV_Data_An_Cour!$P:$P,BV_Data_An_Cour!$U:$U,$A$1,BV_Data_An_Cour!$V:$V,$D24)</f>
        <v>206376.49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321.29000000000002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-37207.24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560633.01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-28136.219999999998</v>
      </c>
      <c r="C30" s="466"/>
      <c r="D30" s="12" t="s">
        <v>46</v>
      </c>
      <c r="E30" s="493">
        <f>+E5+E7+E16+E20+E28</f>
        <v>11780691.65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12855253.99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608743.91000000015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207862.95999999993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219658.94999999995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16966.630000000005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12885.769999999997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1066118.2200000002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12882422.65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2500000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4003225.2700000009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8421079.5299999993</v>
      </c>
      <c r="C53" s="467"/>
      <c r="D53" s="12" t="s">
        <v>72</v>
      </c>
      <c r="E53" s="493">
        <f>SUM(E48:E51)</f>
        <v>8393910.870000001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21276333.52</v>
      </c>
      <c r="C56" s="467"/>
      <c r="D56" s="12" t="s">
        <v>74</v>
      </c>
      <c r="E56" s="493">
        <f>+E53+E45</f>
        <v>21276333.520000003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76" activePane="bottomRight" state="frozen"/>
      <selection sqref="A1:XFD1048576"/>
      <selection pane="topRight" sqref="A1:XFD1048576"/>
      <selection pane="bottomLeft" sqref="A1:XFD1048576"/>
      <selection pane="bottomRight" activeCell="E171" sqref="E171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20" t="str">
        <f>"Budget 2023 Mensuel"&amp;" "&amp;Parametres!$B$1</f>
        <v>Budget 2023 Mensuel BMW Sherbrooke</v>
      </c>
      <c r="C1" s="1220"/>
      <c r="D1" s="1220"/>
      <c r="E1" s="1220"/>
      <c r="F1" s="1220"/>
      <c r="G1" s="1220"/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20"/>
      <c r="W1" s="1220"/>
      <c r="X1" s="1220"/>
      <c r="Y1" s="1220"/>
      <c r="Z1" s="1220"/>
      <c r="AA1" s="1220"/>
      <c r="AB1" s="1220"/>
      <c r="AC1" s="1220"/>
      <c r="AD1" s="1220"/>
      <c r="AE1" s="1220"/>
      <c r="AF1" s="1220"/>
      <c r="AG1" s="1220"/>
      <c r="AH1" s="1220"/>
      <c r="AI1" s="1220"/>
      <c r="AJ1" s="1220"/>
      <c r="AK1" s="1220"/>
      <c r="AL1" s="1220"/>
      <c r="AM1" s="1220"/>
      <c r="AN1" s="1220"/>
      <c r="AO1" s="1220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>X</v>
      </c>
      <c r="P2" s="545" t="str">
        <f>+IF(Parametres!$B$3=O$6,"O","")</f>
        <v>O</v>
      </c>
      <c r="Q2" s="545" t="str">
        <f>+IF(Parametres!$B$3=O$6,"U","")</f>
        <v>U</v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2938</v>
      </c>
      <c r="C4" s="1221" t="s">
        <v>75</v>
      </c>
      <c r="D4" s="1221"/>
      <c r="E4" s="1221"/>
      <c r="F4" s="1221"/>
      <c r="G4" s="1221"/>
      <c r="H4" s="1221"/>
      <c r="I4" s="1221"/>
      <c r="J4" s="1221"/>
      <c r="K4" s="1221"/>
      <c r="L4" s="1221"/>
      <c r="M4" s="1221"/>
      <c r="N4" s="1221"/>
      <c r="O4" s="1221"/>
      <c r="P4" s="1221"/>
      <c r="Q4" s="1221"/>
      <c r="R4" s="1221"/>
      <c r="S4" s="1221"/>
      <c r="T4" s="1221"/>
      <c r="U4" s="1221"/>
      <c r="V4" s="1221"/>
      <c r="W4" s="1221"/>
      <c r="X4" s="1221"/>
      <c r="Y4" s="1221"/>
      <c r="Z4" s="1221"/>
      <c r="AA4" s="1221"/>
      <c r="AB4" s="1221"/>
      <c r="AC4" s="1221"/>
      <c r="AD4" s="1221"/>
      <c r="AE4" s="1221"/>
      <c r="AF4" s="1221"/>
      <c r="AG4" s="1221"/>
      <c r="AH4" s="1221"/>
      <c r="AI4" s="1221"/>
      <c r="AJ4" s="1221"/>
      <c r="AK4" s="1221"/>
      <c r="AL4" s="1221"/>
      <c r="AM4" s="1221"/>
      <c r="AN4" s="1221"/>
      <c r="AO4" s="122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2025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25300741.999999996</v>
      </c>
      <c r="F8" s="801"/>
      <c r="G8" s="802"/>
      <c r="H8" s="803">
        <v>1392233.5513396894</v>
      </c>
      <c r="I8" s="801"/>
      <c r="J8" s="802"/>
      <c r="K8" s="803">
        <v>1203869.3166235487</v>
      </c>
      <c r="L8" s="801"/>
      <c r="M8" s="802"/>
      <c r="N8" s="803">
        <v>2376592.0282797413</v>
      </c>
      <c r="O8" s="801"/>
      <c r="P8" s="802"/>
      <c r="Q8" s="803">
        <v>3027277.1386981602</v>
      </c>
      <c r="R8" s="801"/>
      <c r="S8" s="802"/>
      <c r="T8" s="803">
        <v>3315725.119754965</v>
      </c>
      <c r="U8" s="801"/>
      <c r="V8" s="802"/>
      <c r="W8" s="803">
        <v>2132666.7331516137</v>
      </c>
      <c r="X8" s="801"/>
      <c r="Y8" s="802"/>
      <c r="Z8" s="803">
        <v>1576929.8805812243</v>
      </c>
      <c r="AA8" s="801"/>
      <c r="AB8" s="802"/>
      <c r="AC8" s="803">
        <v>2044724.0846024994</v>
      </c>
      <c r="AD8" s="801"/>
      <c r="AE8" s="802"/>
      <c r="AF8" s="803">
        <v>2351226.7141592442</v>
      </c>
      <c r="AG8" s="801"/>
      <c r="AH8" s="802"/>
      <c r="AI8" s="803">
        <v>2297872.1051162328</v>
      </c>
      <c r="AJ8" s="801"/>
      <c r="AK8" s="802"/>
      <c r="AL8" s="803">
        <v>1921112.4895841447</v>
      </c>
      <c r="AM8" s="801"/>
      <c r="AN8" s="802"/>
      <c r="AO8" s="803">
        <v>1660512.8381089361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4306.395348837209</v>
      </c>
      <c r="E9" s="806">
        <v>370349.99999999994</v>
      </c>
      <c r="F9" s="804">
        <v>5</v>
      </c>
      <c r="G9" s="805">
        <v>4306.395348837209</v>
      </c>
      <c r="H9" s="806">
        <v>21531.976744186046</v>
      </c>
      <c r="I9" s="804">
        <v>4</v>
      </c>
      <c r="J9" s="805">
        <v>4306.395348837209</v>
      </c>
      <c r="K9" s="806">
        <v>17225.581395348836</v>
      </c>
      <c r="L9" s="804">
        <v>8</v>
      </c>
      <c r="M9" s="805">
        <v>4306.395348837209</v>
      </c>
      <c r="N9" s="806">
        <v>34451.162790697672</v>
      </c>
      <c r="O9" s="804">
        <v>10</v>
      </c>
      <c r="P9" s="805">
        <v>4306.395348837209</v>
      </c>
      <c r="Q9" s="806">
        <v>43063.953488372092</v>
      </c>
      <c r="R9" s="804">
        <v>11</v>
      </c>
      <c r="S9" s="805">
        <v>4306.395348837209</v>
      </c>
      <c r="T9" s="806">
        <v>47370.348837209298</v>
      </c>
      <c r="U9" s="804">
        <v>7</v>
      </c>
      <c r="V9" s="805">
        <v>4306.395348837209</v>
      </c>
      <c r="W9" s="806">
        <v>30144.767441860462</v>
      </c>
      <c r="X9" s="804">
        <v>5</v>
      </c>
      <c r="Y9" s="805">
        <v>4306.395348837209</v>
      </c>
      <c r="Z9" s="806">
        <v>21531.976744186046</v>
      </c>
      <c r="AA9" s="804">
        <v>7</v>
      </c>
      <c r="AB9" s="805">
        <v>4306.395348837209</v>
      </c>
      <c r="AC9" s="806">
        <v>30144.767441860462</v>
      </c>
      <c r="AD9" s="804">
        <v>8</v>
      </c>
      <c r="AE9" s="805">
        <v>4306.395348837209</v>
      </c>
      <c r="AF9" s="806">
        <v>34451.162790697672</v>
      </c>
      <c r="AG9" s="804">
        <v>8</v>
      </c>
      <c r="AH9" s="805">
        <v>4306.395348837209</v>
      </c>
      <c r="AI9" s="806">
        <v>34451.162790697672</v>
      </c>
      <c r="AJ9" s="804">
        <v>7</v>
      </c>
      <c r="AK9" s="805">
        <v>4306.395348837209</v>
      </c>
      <c r="AL9" s="806">
        <v>30144.767441860462</v>
      </c>
      <c r="AM9" s="804">
        <v>6</v>
      </c>
      <c r="AN9" s="805">
        <v>4306.395348837209</v>
      </c>
      <c r="AO9" s="806">
        <v>25838.372093023252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4000.3311258278145</v>
      </c>
      <c r="E10" s="806">
        <v>604050</v>
      </c>
      <c r="F10" s="804">
        <v>8</v>
      </c>
      <c r="G10" s="805">
        <v>4000.3311258278145</v>
      </c>
      <c r="H10" s="806">
        <v>32002.649006622516</v>
      </c>
      <c r="I10" s="804">
        <v>7</v>
      </c>
      <c r="J10" s="805">
        <v>4000.3311258278145</v>
      </c>
      <c r="K10" s="806">
        <v>28002.317880794701</v>
      </c>
      <c r="L10" s="804">
        <v>14</v>
      </c>
      <c r="M10" s="805">
        <v>4000.3311258278145</v>
      </c>
      <c r="N10" s="806">
        <v>56004.635761589401</v>
      </c>
      <c r="O10" s="804">
        <v>18</v>
      </c>
      <c r="P10" s="805">
        <v>4000.331125827814</v>
      </c>
      <c r="Q10" s="806">
        <v>72005.960264900656</v>
      </c>
      <c r="R10" s="804">
        <v>20</v>
      </c>
      <c r="S10" s="805">
        <v>4000.3311258278145</v>
      </c>
      <c r="T10" s="806">
        <v>80006.622516556294</v>
      </c>
      <c r="U10" s="804">
        <v>13</v>
      </c>
      <c r="V10" s="805">
        <v>4000.3311258278145</v>
      </c>
      <c r="W10" s="806">
        <v>52004.304635761589</v>
      </c>
      <c r="X10" s="804">
        <v>10</v>
      </c>
      <c r="Y10" s="805">
        <v>4000.3311258278145</v>
      </c>
      <c r="Z10" s="806">
        <v>40003.311258278147</v>
      </c>
      <c r="AA10" s="804">
        <v>12</v>
      </c>
      <c r="AB10" s="805">
        <v>4000.331125827814</v>
      </c>
      <c r="AC10" s="806">
        <v>48003.97350993377</v>
      </c>
      <c r="AD10" s="804">
        <v>14</v>
      </c>
      <c r="AE10" s="805">
        <v>4000.3311258278145</v>
      </c>
      <c r="AF10" s="806">
        <v>56004.635761589401</v>
      </c>
      <c r="AG10" s="804">
        <v>14</v>
      </c>
      <c r="AH10" s="805">
        <v>4000.3311258278145</v>
      </c>
      <c r="AI10" s="806">
        <v>56004.635761589401</v>
      </c>
      <c r="AJ10" s="804">
        <v>11</v>
      </c>
      <c r="AK10" s="805">
        <v>4000.3311258278145</v>
      </c>
      <c r="AL10" s="806">
        <v>44003.642384105959</v>
      </c>
      <c r="AM10" s="804">
        <v>10</v>
      </c>
      <c r="AN10" s="805">
        <v>4000.3311258278145</v>
      </c>
      <c r="AO10" s="806">
        <v>40003.311258278147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237</v>
      </c>
      <c r="D16" s="810">
        <v>4111.3924050632913</v>
      </c>
      <c r="E16" s="811">
        <v>974400</v>
      </c>
      <c r="F16" s="809">
        <v>13</v>
      </c>
      <c r="G16" s="810">
        <v>4118.0481346775814</v>
      </c>
      <c r="H16" s="811">
        <v>53534.625750808562</v>
      </c>
      <c r="I16" s="809">
        <v>11</v>
      </c>
      <c r="J16" s="810">
        <v>4111.6272069221395</v>
      </c>
      <c r="K16" s="811">
        <v>45227.899276143537</v>
      </c>
      <c r="L16" s="809">
        <v>22</v>
      </c>
      <c r="M16" s="810">
        <v>4111.6272069221395</v>
      </c>
      <c r="N16" s="811">
        <v>90455.798552287073</v>
      </c>
      <c r="O16" s="809">
        <v>28</v>
      </c>
      <c r="P16" s="810">
        <v>4109.639776902598</v>
      </c>
      <c r="Q16" s="811">
        <v>115069.91375327275</v>
      </c>
      <c r="R16" s="809">
        <v>31</v>
      </c>
      <c r="S16" s="810">
        <v>4108.9345597988904</v>
      </c>
      <c r="T16" s="811">
        <v>127376.97135376559</v>
      </c>
      <c r="U16" s="809">
        <v>20</v>
      </c>
      <c r="V16" s="810">
        <v>4107.4536038811029</v>
      </c>
      <c r="W16" s="811">
        <v>82149.072077622055</v>
      </c>
      <c r="X16" s="809">
        <v>15</v>
      </c>
      <c r="Y16" s="810">
        <v>4102.352533497613</v>
      </c>
      <c r="Z16" s="811">
        <v>61535.288002464193</v>
      </c>
      <c r="AA16" s="809">
        <v>19</v>
      </c>
      <c r="AB16" s="810">
        <v>4113.0916290418018</v>
      </c>
      <c r="AC16" s="811">
        <v>78148.740951794229</v>
      </c>
      <c r="AD16" s="809">
        <v>22</v>
      </c>
      <c r="AE16" s="810">
        <v>4111.6272069221395</v>
      </c>
      <c r="AF16" s="811">
        <v>90455.798552287073</v>
      </c>
      <c r="AG16" s="809">
        <v>22</v>
      </c>
      <c r="AH16" s="810">
        <v>4111.6272069221395</v>
      </c>
      <c r="AI16" s="811">
        <v>90455.798552287073</v>
      </c>
      <c r="AJ16" s="809">
        <v>18</v>
      </c>
      <c r="AK16" s="810">
        <v>4119.3561014425786</v>
      </c>
      <c r="AL16" s="811">
        <v>74148.409825966417</v>
      </c>
      <c r="AM16" s="809">
        <v>16</v>
      </c>
      <c r="AN16" s="810">
        <v>4115.1052094563374</v>
      </c>
      <c r="AO16" s="811">
        <v>65841.683351301399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35</v>
      </c>
      <c r="D18" s="815">
        <v>750</v>
      </c>
      <c r="E18" s="816">
        <v>26250</v>
      </c>
      <c r="F18" s="814">
        <v>2</v>
      </c>
      <c r="G18" s="815">
        <v>750</v>
      </c>
      <c r="H18" s="816">
        <v>1500</v>
      </c>
      <c r="I18" s="814">
        <v>2</v>
      </c>
      <c r="J18" s="815">
        <v>750</v>
      </c>
      <c r="K18" s="816">
        <v>1500</v>
      </c>
      <c r="L18" s="814">
        <v>3</v>
      </c>
      <c r="M18" s="815">
        <v>750</v>
      </c>
      <c r="N18" s="816">
        <v>2250</v>
      </c>
      <c r="O18" s="814">
        <v>4</v>
      </c>
      <c r="P18" s="815">
        <v>750</v>
      </c>
      <c r="Q18" s="816">
        <v>3000</v>
      </c>
      <c r="R18" s="814">
        <v>5</v>
      </c>
      <c r="S18" s="815">
        <v>750</v>
      </c>
      <c r="T18" s="816">
        <v>3750</v>
      </c>
      <c r="U18" s="814">
        <v>3</v>
      </c>
      <c r="V18" s="815">
        <v>750</v>
      </c>
      <c r="W18" s="816">
        <v>2250</v>
      </c>
      <c r="X18" s="814">
        <v>2</v>
      </c>
      <c r="Y18" s="815">
        <v>750</v>
      </c>
      <c r="Z18" s="816">
        <v>1500</v>
      </c>
      <c r="AA18" s="814">
        <v>3</v>
      </c>
      <c r="AB18" s="815">
        <v>750</v>
      </c>
      <c r="AC18" s="816">
        <v>2250</v>
      </c>
      <c r="AD18" s="814">
        <v>3</v>
      </c>
      <c r="AE18" s="815">
        <v>750</v>
      </c>
      <c r="AF18" s="816">
        <v>2250</v>
      </c>
      <c r="AG18" s="814">
        <v>3</v>
      </c>
      <c r="AH18" s="815">
        <v>750</v>
      </c>
      <c r="AI18" s="816">
        <v>2250</v>
      </c>
      <c r="AJ18" s="814">
        <v>3</v>
      </c>
      <c r="AK18" s="815">
        <v>750</v>
      </c>
      <c r="AL18" s="816">
        <v>2250</v>
      </c>
      <c r="AM18" s="814">
        <v>2</v>
      </c>
      <c r="AN18" s="815">
        <v>750</v>
      </c>
      <c r="AO18" s="816">
        <v>1500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3</v>
      </c>
      <c r="D20" s="805">
        <v>0</v>
      </c>
      <c r="E20" s="806">
        <v>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0</v>
      </c>
      <c r="N20" s="806">
        <v>0</v>
      </c>
      <c r="O20" s="804">
        <v>1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29970.000000000004</v>
      </c>
      <c r="F22" s="807"/>
      <c r="G22" s="805"/>
      <c r="H22" s="806">
        <v>2006.5069884531054</v>
      </c>
      <c r="I22" s="807"/>
      <c r="J22" s="805"/>
      <c r="K22" s="806">
        <v>1744.6740686142907</v>
      </c>
      <c r="L22" s="807"/>
      <c r="M22" s="805"/>
      <c r="N22" s="806">
        <v>2495.9768143875981</v>
      </c>
      <c r="O22" s="807"/>
      <c r="P22" s="805"/>
      <c r="Q22" s="806">
        <v>3500.0986408471085</v>
      </c>
      <c r="R22" s="807"/>
      <c r="S22" s="805"/>
      <c r="T22" s="806">
        <v>4034.9000858612535</v>
      </c>
      <c r="U22" s="807"/>
      <c r="V22" s="805"/>
      <c r="W22" s="806">
        <v>3007.1266755289494</v>
      </c>
      <c r="X22" s="807"/>
      <c r="Y22" s="805"/>
      <c r="Z22" s="806">
        <v>2178.6401672054026</v>
      </c>
      <c r="AA22" s="807"/>
      <c r="AB22" s="805"/>
      <c r="AC22" s="806">
        <v>3072.8225191038937</v>
      </c>
      <c r="AD22" s="807"/>
      <c r="AE22" s="805"/>
      <c r="AF22" s="806">
        <v>1622.1854762366743</v>
      </c>
      <c r="AG22" s="807"/>
      <c r="AH22" s="805"/>
      <c r="AI22" s="806">
        <v>2471.1767026515581</v>
      </c>
      <c r="AJ22" s="807"/>
      <c r="AK22" s="805"/>
      <c r="AL22" s="806">
        <v>1909.7846549970564</v>
      </c>
      <c r="AM22" s="807"/>
      <c r="AN22" s="805"/>
      <c r="AO22" s="806">
        <v>1926.107206113109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25</v>
      </c>
      <c r="E24" s="806">
        <v>6800</v>
      </c>
      <c r="F24" s="804"/>
      <c r="G24" s="805">
        <v>25</v>
      </c>
      <c r="H24" s="806">
        <v>375</v>
      </c>
      <c r="I24" s="804"/>
      <c r="J24" s="805">
        <v>25</v>
      </c>
      <c r="K24" s="806">
        <v>325</v>
      </c>
      <c r="L24" s="804"/>
      <c r="M24" s="805">
        <v>25</v>
      </c>
      <c r="N24" s="806">
        <v>625</v>
      </c>
      <c r="O24" s="804"/>
      <c r="P24" s="805">
        <v>25</v>
      </c>
      <c r="Q24" s="806">
        <v>800</v>
      </c>
      <c r="R24" s="804"/>
      <c r="S24" s="805">
        <v>25</v>
      </c>
      <c r="T24" s="806">
        <v>900</v>
      </c>
      <c r="U24" s="804"/>
      <c r="V24" s="805">
        <v>25</v>
      </c>
      <c r="W24" s="806">
        <v>575</v>
      </c>
      <c r="X24" s="804"/>
      <c r="Y24" s="805">
        <v>25</v>
      </c>
      <c r="Z24" s="806">
        <v>425</v>
      </c>
      <c r="AA24" s="804"/>
      <c r="AB24" s="805">
        <v>25</v>
      </c>
      <c r="AC24" s="806">
        <v>550</v>
      </c>
      <c r="AD24" s="804"/>
      <c r="AE24" s="805">
        <v>25</v>
      </c>
      <c r="AF24" s="806">
        <v>625</v>
      </c>
      <c r="AG24" s="804"/>
      <c r="AH24" s="805">
        <v>25</v>
      </c>
      <c r="AI24" s="806">
        <v>625</v>
      </c>
      <c r="AJ24" s="804"/>
      <c r="AK24" s="805">
        <v>25</v>
      </c>
      <c r="AL24" s="806">
        <v>525</v>
      </c>
      <c r="AM24" s="804"/>
      <c r="AN24" s="805">
        <v>25</v>
      </c>
      <c r="AO24" s="806">
        <v>450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1150</v>
      </c>
      <c r="E25" s="806">
        <v>312800</v>
      </c>
      <c r="F25" s="804"/>
      <c r="G25" s="805">
        <v>1150</v>
      </c>
      <c r="H25" s="806">
        <v>17250</v>
      </c>
      <c r="I25" s="804"/>
      <c r="J25" s="805">
        <v>1150</v>
      </c>
      <c r="K25" s="806">
        <v>14950</v>
      </c>
      <c r="L25" s="804"/>
      <c r="M25" s="805">
        <v>1150</v>
      </c>
      <c r="N25" s="806">
        <v>28750</v>
      </c>
      <c r="O25" s="804"/>
      <c r="P25" s="805">
        <v>1150</v>
      </c>
      <c r="Q25" s="806">
        <v>36800</v>
      </c>
      <c r="R25" s="804"/>
      <c r="S25" s="805">
        <v>1150</v>
      </c>
      <c r="T25" s="806">
        <v>41400</v>
      </c>
      <c r="U25" s="804"/>
      <c r="V25" s="805">
        <v>1150</v>
      </c>
      <c r="W25" s="806">
        <v>26450</v>
      </c>
      <c r="X25" s="804"/>
      <c r="Y25" s="805">
        <v>1150</v>
      </c>
      <c r="Z25" s="806">
        <v>19550</v>
      </c>
      <c r="AA25" s="804"/>
      <c r="AB25" s="805">
        <v>1150</v>
      </c>
      <c r="AC25" s="806">
        <v>25300</v>
      </c>
      <c r="AD25" s="804"/>
      <c r="AE25" s="805">
        <v>1150</v>
      </c>
      <c r="AF25" s="806">
        <v>28750</v>
      </c>
      <c r="AG25" s="804"/>
      <c r="AH25" s="805">
        <v>1150</v>
      </c>
      <c r="AI25" s="806">
        <v>28750</v>
      </c>
      <c r="AJ25" s="804"/>
      <c r="AK25" s="805">
        <v>1150</v>
      </c>
      <c r="AL25" s="806">
        <v>24150</v>
      </c>
      <c r="AM25" s="804"/>
      <c r="AN25" s="805">
        <v>1150</v>
      </c>
      <c r="AO25" s="806">
        <v>20700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480</v>
      </c>
      <c r="E26" s="806">
        <v>130560</v>
      </c>
      <c r="F26" s="804"/>
      <c r="G26" s="805">
        <v>480</v>
      </c>
      <c r="H26" s="806">
        <v>7200</v>
      </c>
      <c r="I26" s="804"/>
      <c r="J26" s="805">
        <v>480</v>
      </c>
      <c r="K26" s="806">
        <v>6240</v>
      </c>
      <c r="L26" s="804"/>
      <c r="M26" s="805">
        <v>480</v>
      </c>
      <c r="N26" s="806">
        <v>12000</v>
      </c>
      <c r="O26" s="804"/>
      <c r="P26" s="805">
        <v>480</v>
      </c>
      <c r="Q26" s="806">
        <v>15360</v>
      </c>
      <c r="R26" s="804"/>
      <c r="S26" s="805">
        <v>480</v>
      </c>
      <c r="T26" s="806">
        <v>17280</v>
      </c>
      <c r="U26" s="804"/>
      <c r="V26" s="805">
        <v>480</v>
      </c>
      <c r="W26" s="806">
        <v>11040</v>
      </c>
      <c r="X26" s="804"/>
      <c r="Y26" s="805">
        <v>480</v>
      </c>
      <c r="Z26" s="806">
        <v>8160</v>
      </c>
      <c r="AA26" s="804"/>
      <c r="AB26" s="805">
        <v>480</v>
      </c>
      <c r="AC26" s="806">
        <v>10560</v>
      </c>
      <c r="AD26" s="804"/>
      <c r="AE26" s="805">
        <v>480</v>
      </c>
      <c r="AF26" s="806">
        <v>12000</v>
      </c>
      <c r="AG26" s="804"/>
      <c r="AH26" s="805">
        <v>480</v>
      </c>
      <c r="AI26" s="806">
        <v>12000</v>
      </c>
      <c r="AJ26" s="804"/>
      <c r="AK26" s="805">
        <v>480</v>
      </c>
      <c r="AL26" s="806">
        <v>10080</v>
      </c>
      <c r="AM26" s="804"/>
      <c r="AN26" s="805">
        <v>480</v>
      </c>
      <c r="AO26" s="806">
        <v>8640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272</v>
      </c>
      <c r="D27" s="810">
        <v>1655</v>
      </c>
      <c r="E27" s="811">
        <v>450160</v>
      </c>
      <c r="F27" s="809">
        <v>15</v>
      </c>
      <c r="G27" s="810">
        <v>1655</v>
      </c>
      <c r="H27" s="811">
        <v>24825</v>
      </c>
      <c r="I27" s="809">
        <v>13</v>
      </c>
      <c r="J27" s="810">
        <v>1655</v>
      </c>
      <c r="K27" s="811">
        <v>21515</v>
      </c>
      <c r="L27" s="809">
        <v>25</v>
      </c>
      <c r="M27" s="810">
        <v>1655</v>
      </c>
      <c r="N27" s="811">
        <v>41375</v>
      </c>
      <c r="O27" s="809">
        <v>32</v>
      </c>
      <c r="P27" s="810">
        <v>1655</v>
      </c>
      <c r="Q27" s="811">
        <v>52960</v>
      </c>
      <c r="R27" s="809">
        <v>36</v>
      </c>
      <c r="S27" s="810">
        <v>1655</v>
      </c>
      <c r="T27" s="811">
        <v>59580</v>
      </c>
      <c r="U27" s="809">
        <v>23</v>
      </c>
      <c r="V27" s="810">
        <v>1655</v>
      </c>
      <c r="W27" s="811">
        <v>38065</v>
      </c>
      <c r="X27" s="809">
        <v>17</v>
      </c>
      <c r="Y27" s="810">
        <v>1655</v>
      </c>
      <c r="Z27" s="811">
        <v>28135</v>
      </c>
      <c r="AA27" s="809">
        <v>22</v>
      </c>
      <c r="AB27" s="810">
        <v>1655</v>
      </c>
      <c r="AC27" s="811">
        <v>36410</v>
      </c>
      <c r="AD27" s="809">
        <v>25</v>
      </c>
      <c r="AE27" s="810">
        <v>1655</v>
      </c>
      <c r="AF27" s="811">
        <v>41375</v>
      </c>
      <c r="AG27" s="809">
        <v>25</v>
      </c>
      <c r="AH27" s="810">
        <v>1655</v>
      </c>
      <c r="AI27" s="811">
        <v>41375</v>
      </c>
      <c r="AJ27" s="809">
        <v>21</v>
      </c>
      <c r="AK27" s="810">
        <v>1655</v>
      </c>
      <c r="AL27" s="811">
        <v>34755</v>
      </c>
      <c r="AM27" s="809">
        <v>18</v>
      </c>
      <c r="AN27" s="810">
        <v>1655</v>
      </c>
      <c r="AO27" s="811">
        <v>29790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275</v>
      </c>
      <c r="D30" s="823">
        <v>5384.6545454545458</v>
      </c>
      <c r="E30" s="824">
        <v>1480780</v>
      </c>
      <c r="F30" s="822">
        <v>15</v>
      </c>
      <c r="G30" s="823">
        <v>5457.742182617445</v>
      </c>
      <c r="H30" s="824">
        <v>81866.13273926168</v>
      </c>
      <c r="I30" s="822">
        <v>13</v>
      </c>
      <c r="J30" s="823">
        <v>5383.6594880582943</v>
      </c>
      <c r="K30" s="824">
        <v>69987.573344757824</v>
      </c>
      <c r="L30" s="822">
        <v>26</v>
      </c>
      <c r="M30" s="823">
        <v>5252.9528987182566</v>
      </c>
      <c r="N30" s="824">
        <v>136576.77536667467</v>
      </c>
      <c r="O30" s="822">
        <v>33</v>
      </c>
      <c r="P30" s="823">
        <v>5288.7882543672677</v>
      </c>
      <c r="Q30" s="824">
        <v>174530.01239411984</v>
      </c>
      <c r="R30" s="822">
        <v>36</v>
      </c>
      <c r="S30" s="823">
        <v>5409.4964288785231</v>
      </c>
      <c r="T30" s="824">
        <v>194741.87143962682</v>
      </c>
      <c r="U30" s="822">
        <v>23</v>
      </c>
      <c r="V30" s="823">
        <v>5455.2695110065661</v>
      </c>
      <c r="W30" s="824">
        <v>125471.19875315101</v>
      </c>
      <c r="X30" s="822">
        <v>17</v>
      </c>
      <c r="Y30" s="823">
        <v>5491.1134217452709</v>
      </c>
      <c r="Z30" s="824">
        <v>93348.928169669598</v>
      </c>
      <c r="AA30" s="822">
        <v>22</v>
      </c>
      <c r="AB30" s="823">
        <v>5449.1619759499144</v>
      </c>
      <c r="AC30" s="824">
        <v>119881.56347089812</v>
      </c>
      <c r="AD30" s="822">
        <v>26</v>
      </c>
      <c r="AE30" s="823">
        <v>5219.3455395586061</v>
      </c>
      <c r="AF30" s="824">
        <v>135702.98402852376</v>
      </c>
      <c r="AG30" s="822">
        <v>25</v>
      </c>
      <c r="AH30" s="823">
        <v>5462.0790101975444</v>
      </c>
      <c r="AI30" s="824">
        <v>136551.97525493862</v>
      </c>
      <c r="AJ30" s="822">
        <v>21</v>
      </c>
      <c r="AK30" s="823">
        <v>5383.9616419506419</v>
      </c>
      <c r="AL30" s="824">
        <v>113063.19448096347</v>
      </c>
      <c r="AM30" s="822">
        <v>18</v>
      </c>
      <c r="AN30" s="823">
        <v>5503.2105865230287</v>
      </c>
      <c r="AO30" s="824">
        <v>99057.790557414512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0.29126567730974867</v>
      </c>
      <c r="D34" s="833">
        <v>1071.5257352941176</v>
      </c>
      <c r="E34" s="834">
        <v>291455</v>
      </c>
      <c r="F34" s="832">
        <v>0.31323602206679546</v>
      </c>
      <c r="G34" s="833">
        <v>1149.2551497412067</v>
      </c>
      <c r="H34" s="834">
        <v>17238.8272461181</v>
      </c>
      <c r="I34" s="832">
        <v>0.31476231284111711</v>
      </c>
      <c r="J34" s="833">
        <v>1131.3985884896692</v>
      </c>
      <c r="K34" s="834">
        <v>14708.181650365701</v>
      </c>
      <c r="L34" s="832">
        <v>0.28606607661759331</v>
      </c>
      <c r="M34" s="833">
        <v>1060.7993628621489</v>
      </c>
      <c r="N34" s="834">
        <v>26519.984071553725</v>
      </c>
      <c r="O34" s="832">
        <v>0.28154120035683033</v>
      </c>
      <c r="P34" s="833">
        <v>1038.7982888788699</v>
      </c>
      <c r="Q34" s="834">
        <v>33241.545244123838</v>
      </c>
      <c r="R34" s="832">
        <v>0.2794200889964229</v>
      </c>
      <c r="S34" s="833">
        <v>1017.7641668194605</v>
      </c>
      <c r="T34" s="834">
        <v>36639.510005500575</v>
      </c>
      <c r="U34" s="832">
        <v>0.29112985857918805</v>
      </c>
      <c r="V34" s="833">
        <v>1068.3082573118613</v>
      </c>
      <c r="W34" s="834">
        <v>24571.089918172809</v>
      </c>
      <c r="X34" s="832">
        <v>0.30589256771486956</v>
      </c>
      <c r="Y34" s="833">
        <v>1134.2368296305931</v>
      </c>
      <c r="Z34" s="834">
        <v>19282.026103720083</v>
      </c>
      <c r="AA34" s="832">
        <v>0.2933806029593452</v>
      </c>
      <c r="AB34" s="833">
        <v>1072.1559589822541</v>
      </c>
      <c r="AC34" s="834">
        <v>23587.431097609591</v>
      </c>
      <c r="AD34" s="832">
        <v>0.28510663373248885</v>
      </c>
      <c r="AE34" s="833">
        <v>1057.2415261089923</v>
      </c>
      <c r="AF34" s="834">
        <v>26431.038152724806</v>
      </c>
      <c r="AG34" s="832">
        <v>0.28879302366331699</v>
      </c>
      <c r="AH34" s="833">
        <v>1070.9115150014936</v>
      </c>
      <c r="AI34" s="834">
        <v>26772.787875037338</v>
      </c>
      <c r="AJ34" s="832">
        <v>0.29015115608967729</v>
      </c>
      <c r="AK34" s="833">
        <v>1055.575568305577</v>
      </c>
      <c r="AL34" s="834">
        <v>22167.086934417115</v>
      </c>
      <c r="AM34" s="832">
        <v>0.30138081928811916</v>
      </c>
      <c r="AN34" s="833">
        <v>1127.5273167031282</v>
      </c>
      <c r="AO34" s="834">
        <v>20295.491700656308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0.27500000000000002</v>
      </c>
      <c r="D35" s="836">
        <v>455.125</v>
      </c>
      <c r="E35" s="837">
        <v>123794</v>
      </c>
      <c r="F35" s="835">
        <v>0.27500000000000002</v>
      </c>
      <c r="G35" s="836">
        <v>455.125</v>
      </c>
      <c r="H35" s="837">
        <v>6826.875</v>
      </c>
      <c r="I35" s="835">
        <v>0.27500000000000002</v>
      </c>
      <c r="J35" s="836">
        <v>455.125</v>
      </c>
      <c r="K35" s="837">
        <v>5916.625</v>
      </c>
      <c r="L35" s="835">
        <v>0.27500000000000002</v>
      </c>
      <c r="M35" s="836">
        <v>455.125</v>
      </c>
      <c r="N35" s="837">
        <v>11378.125</v>
      </c>
      <c r="O35" s="835">
        <v>0.27500000000000002</v>
      </c>
      <c r="P35" s="836">
        <v>455.12500000000006</v>
      </c>
      <c r="Q35" s="837">
        <v>14564.000000000002</v>
      </c>
      <c r="R35" s="835">
        <v>0.27500000000000002</v>
      </c>
      <c r="S35" s="836">
        <v>455.125</v>
      </c>
      <c r="T35" s="837">
        <v>16384.5</v>
      </c>
      <c r="U35" s="835">
        <v>0.27500000000000002</v>
      </c>
      <c r="V35" s="836">
        <v>455.125</v>
      </c>
      <c r="W35" s="837">
        <v>10467.875</v>
      </c>
      <c r="X35" s="835">
        <v>0.27500000000000002</v>
      </c>
      <c r="Y35" s="836">
        <v>455.125</v>
      </c>
      <c r="Z35" s="837">
        <v>7737.125</v>
      </c>
      <c r="AA35" s="835">
        <v>0.27500000000000002</v>
      </c>
      <c r="AB35" s="836">
        <v>455.12500000000006</v>
      </c>
      <c r="AC35" s="837">
        <v>10012.750000000002</v>
      </c>
      <c r="AD35" s="835">
        <v>0.27500000000000002</v>
      </c>
      <c r="AE35" s="836">
        <v>455.125</v>
      </c>
      <c r="AF35" s="837">
        <v>11378.125</v>
      </c>
      <c r="AG35" s="835">
        <v>0.27500000000000002</v>
      </c>
      <c r="AH35" s="836">
        <v>455.125</v>
      </c>
      <c r="AI35" s="837">
        <v>11378.125</v>
      </c>
      <c r="AJ35" s="835">
        <v>0.27500000000000002</v>
      </c>
      <c r="AK35" s="836">
        <v>455.125</v>
      </c>
      <c r="AL35" s="837">
        <v>9557.625</v>
      </c>
      <c r="AM35" s="835">
        <v>0.27500000000000002</v>
      </c>
      <c r="AN35" s="836">
        <v>455.125</v>
      </c>
      <c r="AO35" s="837">
        <v>8192.25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130</v>
      </c>
      <c r="E36" s="834">
        <v>35360</v>
      </c>
      <c r="F36" s="812"/>
      <c r="G36" s="833">
        <v>130</v>
      </c>
      <c r="H36" s="834">
        <v>1950</v>
      </c>
      <c r="I36" s="812"/>
      <c r="J36" s="833">
        <v>130</v>
      </c>
      <c r="K36" s="834">
        <v>1690</v>
      </c>
      <c r="L36" s="812"/>
      <c r="M36" s="833">
        <v>130</v>
      </c>
      <c r="N36" s="834">
        <v>3250</v>
      </c>
      <c r="O36" s="812"/>
      <c r="P36" s="833">
        <v>130</v>
      </c>
      <c r="Q36" s="834">
        <v>4160</v>
      </c>
      <c r="R36" s="812"/>
      <c r="S36" s="833">
        <v>130</v>
      </c>
      <c r="T36" s="834">
        <v>4680</v>
      </c>
      <c r="U36" s="812"/>
      <c r="V36" s="833">
        <v>130</v>
      </c>
      <c r="W36" s="834">
        <v>2990</v>
      </c>
      <c r="X36" s="812"/>
      <c r="Y36" s="833">
        <v>130</v>
      </c>
      <c r="Z36" s="834">
        <v>2210</v>
      </c>
      <c r="AA36" s="812"/>
      <c r="AB36" s="833">
        <v>130</v>
      </c>
      <c r="AC36" s="834">
        <v>2860</v>
      </c>
      <c r="AD36" s="812"/>
      <c r="AE36" s="833">
        <v>130</v>
      </c>
      <c r="AF36" s="834">
        <v>3250</v>
      </c>
      <c r="AG36" s="812"/>
      <c r="AH36" s="833">
        <v>130</v>
      </c>
      <c r="AI36" s="834">
        <v>3250</v>
      </c>
      <c r="AJ36" s="812"/>
      <c r="AK36" s="833">
        <v>130</v>
      </c>
      <c r="AL36" s="834">
        <v>2730</v>
      </c>
      <c r="AM36" s="812"/>
      <c r="AN36" s="833">
        <v>130</v>
      </c>
      <c r="AO36" s="834">
        <v>2340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37</v>
      </c>
      <c r="E37" s="834">
        <v>10064</v>
      </c>
      <c r="F37" s="812"/>
      <c r="G37" s="833">
        <v>37</v>
      </c>
      <c r="H37" s="834">
        <v>555</v>
      </c>
      <c r="I37" s="812"/>
      <c r="J37" s="833">
        <v>37</v>
      </c>
      <c r="K37" s="834">
        <v>481</v>
      </c>
      <c r="L37" s="812"/>
      <c r="M37" s="833">
        <v>37</v>
      </c>
      <c r="N37" s="834">
        <v>925</v>
      </c>
      <c r="O37" s="812"/>
      <c r="P37" s="833">
        <v>37</v>
      </c>
      <c r="Q37" s="834">
        <v>1184</v>
      </c>
      <c r="R37" s="812"/>
      <c r="S37" s="833">
        <v>37</v>
      </c>
      <c r="T37" s="834">
        <v>1332</v>
      </c>
      <c r="U37" s="812"/>
      <c r="V37" s="833">
        <v>37</v>
      </c>
      <c r="W37" s="834">
        <v>851</v>
      </c>
      <c r="X37" s="812"/>
      <c r="Y37" s="833">
        <v>37</v>
      </c>
      <c r="Z37" s="834">
        <v>629</v>
      </c>
      <c r="AA37" s="812"/>
      <c r="AB37" s="833">
        <v>37</v>
      </c>
      <c r="AC37" s="834">
        <v>814</v>
      </c>
      <c r="AD37" s="812"/>
      <c r="AE37" s="833">
        <v>37</v>
      </c>
      <c r="AF37" s="834">
        <v>925</v>
      </c>
      <c r="AG37" s="812"/>
      <c r="AH37" s="833">
        <v>37</v>
      </c>
      <c r="AI37" s="834">
        <v>925</v>
      </c>
      <c r="AJ37" s="812"/>
      <c r="AK37" s="833">
        <v>37</v>
      </c>
      <c r="AL37" s="834">
        <v>777</v>
      </c>
      <c r="AM37" s="812"/>
      <c r="AN37" s="833">
        <v>37</v>
      </c>
      <c r="AO37" s="834">
        <v>666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61.617647058823529</v>
      </c>
      <c r="E38" s="837">
        <v>16760</v>
      </c>
      <c r="F38" s="838"/>
      <c r="G38" s="836">
        <v>65</v>
      </c>
      <c r="H38" s="837">
        <v>975</v>
      </c>
      <c r="I38" s="838"/>
      <c r="J38" s="836">
        <v>66.538461538461533</v>
      </c>
      <c r="K38" s="837">
        <v>865</v>
      </c>
      <c r="L38" s="838"/>
      <c r="M38" s="836">
        <v>61</v>
      </c>
      <c r="N38" s="837">
        <v>1525</v>
      </c>
      <c r="O38" s="838"/>
      <c r="P38" s="836">
        <v>59.6875</v>
      </c>
      <c r="Q38" s="837">
        <v>1910</v>
      </c>
      <c r="R38" s="838"/>
      <c r="S38" s="836">
        <v>59.166666666666664</v>
      </c>
      <c r="T38" s="837">
        <v>2130</v>
      </c>
      <c r="U38" s="838"/>
      <c r="V38" s="836">
        <v>61.521739130434781</v>
      </c>
      <c r="W38" s="837">
        <v>1415</v>
      </c>
      <c r="X38" s="838"/>
      <c r="Y38" s="836">
        <v>63.823529411764703</v>
      </c>
      <c r="Z38" s="837">
        <v>1085</v>
      </c>
      <c r="AA38" s="838"/>
      <c r="AB38" s="836">
        <v>61.81818181818182</v>
      </c>
      <c r="AC38" s="837">
        <v>1360</v>
      </c>
      <c r="AD38" s="838"/>
      <c r="AE38" s="836">
        <v>61</v>
      </c>
      <c r="AF38" s="837">
        <v>1525</v>
      </c>
      <c r="AG38" s="838"/>
      <c r="AH38" s="836">
        <v>61</v>
      </c>
      <c r="AI38" s="837">
        <v>1525</v>
      </c>
      <c r="AJ38" s="838"/>
      <c r="AK38" s="836">
        <v>62.142857142857146</v>
      </c>
      <c r="AL38" s="837">
        <v>1305</v>
      </c>
      <c r="AM38" s="838"/>
      <c r="AN38" s="836">
        <v>63.333333333333336</v>
      </c>
      <c r="AO38" s="837">
        <v>1140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513.97058823529414</v>
      </c>
      <c r="E39" s="834">
        <v>139800</v>
      </c>
      <c r="F39" s="812"/>
      <c r="G39" s="833">
        <v>513.97058823529414</v>
      </c>
      <c r="H39" s="834">
        <v>7709.5588235294126</v>
      </c>
      <c r="I39" s="812"/>
      <c r="J39" s="833">
        <v>513.97058823529414</v>
      </c>
      <c r="K39" s="834">
        <v>6681.6176470588234</v>
      </c>
      <c r="L39" s="812"/>
      <c r="M39" s="833">
        <v>513.97058823529414</v>
      </c>
      <c r="N39" s="834">
        <v>12849.264705882353</v>
      </c>
      <c r="O39" s="812"/>
      <c r="P39" s="833">
        <v>513.97058823529414</v>
      </c>
      <c r="Q39" s="834">
        <v>16447.058823529413</v>
      </c>
      <c r="R39" s="812"/>
      <c r="S39" s="833">
        <v>513.97058823529414</v>
      </c>
      <c r="T39" s="834">
        <v>18502.941176470587</v>
      </c>
      <c r="U39" s="812"/>
      <c r="V39" s="833">
        <v>513.97058823529414</v>
      </c>
      <c r="W39" s="834">
        <v>11821.323529411766</v>
      </c>
      <c r="X39" s="812"/>
      <c r="Y39" s="833">
        <v>513.97058823529414</v>
      </c>
      <c r="Z39" s="834">
        <v>8737.5</v>
      </c>
      <c r="AA39" s="812"/>
      <c r="AB39" s="833">
        <v>513.97058823529414</v>
      </c>
      <c r="AC39" s="834">
        <v>11307.352941176472</v>
      </c>
      <c r="AD39" s="812"/>
      <c r="AE39" s="833">
        <v>513.97058823529414</v>
      </c>
      <c r="AF39" s="834">
        <v>12849.264705882353</v>
      </c>
      <c r="AG39" s="812"/>
      <c r="AH39" s="833">
        <v>513.97058823529414</v>
      </c>
      <c r="AI39" s="834">
        <v>12849.264705882353</v>
      </c>
      <c r="AJ39" s="812"/>
      <c r="AK39" s="833">
        <v>513.97058823529414</v>
      </c>
      <c r="AL39" s="834">
        <v>10793.382352941177</v>
      </c>
      <c r="AM39" s="812"/>
      <c r="AN39" s="833">
        <v>513.97058823529414</v>
      </c>
      <c r="AO39" s="834">
        <v>9251.4705882352937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1186.9395747630365</v>
      </c>
      <c r="E40" s="834">
        <v>322847.56433554593</v>
      </c>
      <c r="F40" s="812"/>
      <c r="G40" s="833">
        <v>1702.2597257416485</v>
      </c>
      <c r="H40" s="834">
        <v>25533.895886124727</v>
      </c>
      <c r="I40" s="812"/>
      <c r="J40" s="833">
        <v>1969.1431485044491</v>
      </c>
      <c r="K40" s="834">
        <v>25598.860930557839</v>
      </c>
      <c r="L40" s="812"/>
      <c r="M40" s="833">
        <v>1230.2633956146151</v>
      </c>
      <c r="N40" s="834">
        <v>30756.584890365375</v>
      </c>
      <c r="O40" s="812"/>
      <c r="P40" s="833">
        <v>974.98575635560883</v>
      </c>
      <c r="Q40" s="834">
        <v>31199.544203379482</v>
      </c>
      <c r="R40" s="812"/>
      <c r="S40" s="833">
        <v>835.15871512428737</v>
      </c>
      <c r="T40" s="834">
        <v>30065.713744474346</v>
      </c>
      <c r="U40" s="812"/>
      <c r="V40" s="833">
        <v>1107.6277490457358</v>
      </c>
      <c r="W40" s="834">
        <v>25475.43822805192</v>
      </c>
      <c r="X40" s="812"/>
      <c r="Y40" s="833">
        <v>1525.2107656099477</v>
      </c>
      <c r="Z40" s="834">
        <v>25928.583015369109</v>
      </c>
      <c r="AA40" s="812"/>
      <c r="AB40" s="833">
        <v>1242.6971135385343</v>
      </c>
      <c r="AC40" s="834">
        <v>27339.336497847755</v>
      </c>
      <c r="AD40" s="812"/>
      <c r="AE40" s="833">
        <v>1069.1875192149439</v>
      </c>
      <c r="AF40" s="834">
        <v>26729.687980373597</v>
      </c>
      <c r="AG40" s="812"/>
      <c r="AH40" s="833">
        <v>1057.7884935290861</v>
      </c>
      <c r="AI40" s="834">
        <v>26444.712338227153</v>
      </c>
      <c r="AJ40" s="812"/>
      <c r="AK40" s="833">
        <v>1149.0993430023393</v>
      </c>
      <c r="AL40" s="834">
        <v>24131.086203049126</v>
      </c>
      <c r="AM40" s="812"/>
      <c r="AN40" s="833">
        <v>1313.562245429197</v>
      </c>
      <c r="AO40" s="834">
        <v>23644.120417725546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0.63485498476177826</v>
      </c>
      <c r="E44" s="841">
        <v>940080.56433554599</v>
      </c>
      <c r="F44" s="839" t="s">
        <v>108</v>
      </c>
      <c r="G44" s="840">
        <v>0.74254340496798299</v>
      </c>
      <c r="H44" s="841">
        <v>60789.15695577224</v>
      </c>
      <c r="I44" s="839" t="s">
        <v>108</v>
      </c>
      <c r="J44" s="840">
        <v>0.79930311274569232</v>
      </c>
      <c r="K44" s="841">
        <v>55941.285227982371</v>
      </c>
      <c r="L44" s="839" t="s">
        <v>108</v>
      </c>
      <c r="M44" s="840">
        <v>0.63849771261387978</v>
      </c>
      <c r="N44" s="841">
        <v>87203.95866780146</v>
      </c>
      <c r="O44" s="839" t="s">
        <v>108</v>
      </c>
      <c r="P44" s="840">
        <v>0.58847270370384186</v>
      </c>
      <c r="Q44" s="841">
        <v>102706.14827103273</v>
      </c>
      <c r="R44" s="839" t="s">
        <v>108</v>
      </c>
      <c r="S44" s="840">
        <v>0.56348778059506865</v>
      </c>
      <c r="T44" s="841">
        <v>109734.6649264455</v>
      </c>
      <c r="U44" s="839" t="s">
        <v>108</v>
      </c>
      <c r="V44" s="840">
        <v>0.61840268879783777</v>
      </c>
      <c r="W44" s="841">
        <v>77591.726675636499</v>
      </c>
      <c r="X44" s="839" t="s">
        <v>108</v>
      </c>
      <c r="Y44" s="840">
        <v>0.70283864427279596</v>
      </c>
      <c r="Z44" s="841">
        <v>65609.234119089189</v>
      </c>
      <c r="AA44" s="839" t="s">
        <v>108</v>
      </c>
      <c r="AB44" s="840">
        <v>0.64464349895965578</v>
      </c>
      <c r="AC44" s="841">
        <v>77280.870536633825</v>
      </c>
      <c r="AD44" s="839" t="s">
        <v>108</v>
      </c>
      <c r="AE44" s="840">
        <v>0.6122792098773322</v>
      </c>
      <c r="AF44" s="841">
        <v>83088.115838980753</v>
      </c>
      <c r="AG44" s="839" t="s">
        <v>108</v>
      </c>
      <c r="AH44" s="840">
        <v>0.60888822562923539</v>
      </c>
      <c r="AI44" s="841">
        <v>83144.889919146837</v>
      </c>
      <c r="AJ44" s="839" t="s">
        <v>108</v>
      </c>
      <c r="AK44" s="840">
        <v>0.6320463597235384</v>
      </c>
      <c r="AL44" s="841">
        <v>71461.180490407423</v>
      </c>
      <c r="AM44" s="839" t="s">
        <v>108</v>
      </c>
      <c r="AN44" s="840">
        <v>0.66152629023797915</v>
      </c>
      <c r="AO44" s="841">
        <v>65529.332706617148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150304.6</v>
      </c>
      <c r="F45" s="812"/>
      <c r="G45" s="820"/>
      <c r="H45" s="834">
        <v>12763.084482758622</v>
      </c>
      <c r="I45" s="812"/>
      <c r="J45" s="820"/>
      <c r="K45" s="834">
        <v>12192.601724137932</v>
      </c>
      <c r="L45" s="812"/>
      <c r="M45" s="820"/>
      <c r="N45" s="834">
        <v>12382.762643678161</v>
      </c>
      <c r="O45" s="812"/>
      <c r="P45" s="820"/>
      <c r="Q45" s="834">
        <v>12572.923563218392</v>
      </c>
      <c r="R45" s="812"/>
      <c r="S45" s="820"/>
      <c r="T45" s="834">
        <v>12572.923563218392</v>
      </c>
      <c r="U45" s="812"/>
      <c r="V45" s="820"/>
      <c r="W45" s="834">
        <v>12382.762643678161</v>
      </c>
      <c r="X45" s="812"/>
      <c r="Y45" s="820"/>
      <c r="Z45" s="834">
        <v>12763.084482758622</v>
      </c>
      <c r="AA45" s="812"/>
      <c r="AB45" s="820"/>
      <c r="AC45" s="834">
        <v>12382.762643678161</v>
      </c>
      <c r="AD45" s="812"/>
      <c r="AE45" s="820"/>
      <c r="AF45" s="834">
        <v>12572.923563218392</v>
      </c>
      <c r="AG45" s="812"/>
      <c r="AH45" s="820"/>
      <c r="AI45" s="834">
        <v>12763.084482758622</v>
      </c>
      <c r="AJ45" s="812"/>
      <c r="AK45" s="820"/>
      <c r="AL45" s="834">
        <v>12192.601724137932</v>
      </c>
      <c r="AM45" s="812"/>
      <c r="AN45" s="820"/>
      <c r="AO45" s="834">
        <v>12763.084482758622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115883.20000000001</v>
      </c>
      <c r="F46" s="812"/>
      <c r="G46" s="820"/>
      <c r="H46" s="834">
        <v>10583.90459770115</v>
      </c>
      <c r="I46" s="812"/>
      <c r="J46" s="820"/>
      <c r="K46" s="834">
        <v>9514.1735632183918</v>
      </c>
      <c r="L46" s="812"/>
      <c r="M46" s="820"/>
      <c r="N46" s="834">
        <v>9192.4172413793131</v>
      </c>
      <c r="O46" s="812"/>
      <c r="P46" s="820"/>
      <c r="Q46" s="834">
        <v>9200.6609195402307</v>
      </c>
      <c r="R46" s="812"/>
      <c r="S46" s="820"/>
      <c r="T46" s="834">
        <v>9035.6609195402307</v>
      </c>
      <c r="U46" s="812"/>
      <c r="V46" s="820"/>
      <c r="W46" s="834">
        <v>9357.4172413793131</v>
      </c>
      <c r="X46" s="812"/>
      <c r="Y46" s="820"/>
      <c r="Z46" s="834">
        <v>10473.90459770115</v>
      </c>
      <c r="AA46" s="812"/>
      <c r="AB46" s="820"/>
      <c r="AC46" s="834">
        <v>9412.4172413793131</v>
      </c>
      <c r="AD46" s="812"/>
      <c r="AE46" s="820"/>
      <c r="AF46" s="834">
        <v>9585.6609195402307</v>
      </c>
      <c r="AG46" s="812"/>
      <c r="AH46" s="820"/>
      <c r="AI46" s="834">
        <v>10033.90459770115</v>
      </c>
      <c r="AJ46" s="812"/>
      <c r="AK46" s="820"/>
      <c r="AL46" s="834">
        <v>9074.1735632183918</v>
      </c>
      <c r="AM46" s="812"/>
      <c r="AN46" s="820"/>
      <c r="AO46" s="834">
        <v>10418.90459770115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88637.497975650243</v>
      </c>
      <c r="F52" s="812"/>
      <c r="G52" s="820"/>
      <c r="H52" s="834">
        <v>7667.9796235772119</v>
      </c>
      <c r="I52" s="812"/>
      <c r="J52" s="820"/>
      <c r="K52" s="834">
        <v>4479.9346119043785</v>
      </c>
      <c r="L52" s="812"/>
      <c r="M52" s="820"/>
      <c r="N52" s="834">
        <v>6075.5394173238801</v>
      </c>
      <c r="O52" s="812"/>
      <c r="P52" s="820"/>
      <c r="Q52" s="834">
        <v>8894.4548143822285</v>
      </c>
      <c r="R52" s="812"/>
      <c r="S52" s="820"/>
      <c r="T52" s="834">
        <v>9483.1920606860585</v>
      </c>
      <c r="U52" s="812"/>
      <c r="V52" s="820"/>
      <c r="W52" s="834">
        <v>7379.7220053243154</v>
      </c>
      <c r="X52" s="812"/>
      <c r="Y52" s="820"/>
      <c r="Z52" s="834">
        <v>6666.806420952511</v>
      </c>
      <c r="AA52" s="812"/>
      <c r="AB52" s="820"/>
      <c r="AC52" s="834">
        <v>5700.37004372102</v>
      </c>
      <c r="AD52" s="812"/>
      <c r="AE52" s="820"/>
      <c r="AF52" s="834">
        <v>7774.7124410085562</v>
      </c>
      <c r="AG52" s="812"/>
      <c r="AH52" s="820"/>
      <c r="AI52" s="834">
        <v>7912.414865972517</v>
      </c>
      <c r="AJ52" s="812"/>
      <c r="AK52" s="820"/>
      <c r="AL52" s="834">
        <v>5460.6458980371081</v>
      </c>
      <c r="AM52" s="812"/>
      <c r="AN52" s="820"/>
      <c r="AO52" s="834">
        <v>11141.725772760459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101920.83505883538</v>
      </c>
      <c r="F53" s="842"/>
      <c r="G53" s="843"/>
      <c r="H53" s="844">
        <v>9462.3846969783972</v>
      </c>
      <c r="I53" s="842"/>
      <c r="J53" s="843"/>
      <c r="K53" s="844">
        <v>7766.8431586820479</v>
      </c>
      <c r="L53" s="842"/>
      <c r="M53" s="843"/>
      <c r="N53" s="844">
        <v>9179.3475979132545</v>
      </c>
      <c r="O53" s="842"/>
      <c r="P53" s="843"/>
      <c r="Q53" s="844">
        <v>10383.074519460788</v>
      </c>
      <c r="R53" s="842"/>
      <c r="S53" s="843"/>
      <c r="T53" s="844">
        <v>10868.251478286436</v>
      </c>
      <c r="U53" s="842"/>
      <c r="V53" s="843"/>
      <c r="W53" s="844">
        <v>8488.1399217230446</v>
      </c>
      <c r="X53" s="842"/>
      <c r="Y53" s="843"/>
      <c r="Z53" s="844">
        <v>7668.1459940169716</v>
      </c>
      <c r="AA53" s="842"/>
      <c r="AB53" s="843"/>
      <c r="AC53" s="844">
        <v>8147.8115298838502</v>
      </c>
      <c r="AD53" s="842"/>
      <c r="AE53" s="843"/>
      <c r="AF53" s="844">
        <v>8275.1095060572407</v>
      </c>
      <c r="AG53" s="842"/>
      <c r="AH53" s="843"/>
      <c r="AI53" s="844">
        <v>8082.0910932346605</v>
      </c>
      <c r="AJ53" s="842"/>
      <c r="AK53" s="843"/>
      <c r="AL53" s="844">
        <v>6914.8396426230784</v>
      </c>
      <c r="AM53" s="842"/>
      <c r="AN53" s="843"/>
      <c r="AO53" s="844">
        <v>6684.795919975616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53342.478484615385</v>
      </c>
      <c r="F54" s="812"/>
      <c r="G54" s="820"/>
      <c r="H54" s="834">
        <v>3806.7064872901597</v>
      </c>
      <c r="I54" s="812"/>
      <c r="J54" s="820"/>
      <c r="K54" s="834">
        <v>3408.6459003620275</v>
      </c>
      <c r="L54" s="812"/>
      <c r="M54" s="820"/>
      <c r="N54" s="834">
        <v>4622.693034920344</v>
      </c>
      <c r="O54" s="812"/>
      <c r="P54" s="820"/>
      <c r="Q54" s="834">
        <v>5344.2295320754065</v>
      </c>
      <c r="R54" s="812"/>
      <c r="S54" s="820"/>
      <c r="T54" s="834">
        <v>5697.9720653717786</v>
      </c>
      <c r="U54" s="812"/>
      <c r="V54" s="820"/>
      <c r="W54" s="834">
        <v>4434.1029441836799</v>
      </c>
      <c r="X54" s="812"/>
      <c r="Y54" s="820"/>
      <c r="Z54" s="834">
        <v>4005.7479073222985</v>
      </c>
      <c r="AA54" s="812"/>
      <c r="AB54" s="820"/>
      <c r="AC54" s="834">
        <v>4337.2380767442546</v>
      </c>
      <c r="AD54" s="812"/>
      <c r="AE54" s="820"/>
      <c r="AF54" s="834">
        <v>4671.4327856774744</v>
      </c>
      <c r="AG54" s="812"/>
      <c r="AH54" s="820"/>
      <c r="AI54" s="834">
        <v>4754.1712313145063</v>
      </c>
      <c r="AJ54" s="812"/>
      <c r="AK54" s="820"/>
      <c r="AL54" s="834">
        <v>4154.8392702456267</v>
      </c>
      <c r="AM54" s="812"/>
      <c r="AN54" s="820"/>
      <c r="AO54" s="834">
        <v>4104.6992491078345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11430.531103846153</v>
      </c>
      <c r="F55" s="812"/>
      <c r="G55" s="820"/>
      <c r="H55" s="834">
        <v>815.72281870503411</v>
      </c>
      <c r="I55" s="812"/>
      <c r="J55" s="820"/>
      <c r="K55" s="834">
        <v>730.42412150614871</v>
      </c>
      <c r="L55" s="812"/>
      <c r="M55" s="820"/>
      <c r="N55" s="834">
        <v>990.5770789115021</v>
      </c>
      <c r="O55" s="812"/>
      <c r="P55" s="820"/>
      <c r="Q55" s="834">
        <v>1145.1920425875869</v>
      </c>
      <c r="R55" s="812"/>
      <c r="S55" s="820"/>
      <c r="T55" s="834">
        <v>1220.9940140082381</v>
      </c>
      <c r="U55" s="812"/>
      <c r="V55" s="820"/>
      <c r="W55" s="834">
        <v>950.16491661078851</v>
      </c>
      <c r="X55" s="812"/>
      <c r="Y55" s="820"/>
      <c r="Z55" s="834">
        <v>858.3745515690639</v>
      </c>
      <c r="AA55" s="812"/>
      <c r="AB55" s="820"/>
      <c r="AC55" s="834">
        <v>929.40815930234021</v>
      </c>
      <c r="AD55" s="812"/>
      <c r="AE55" s="820"/>
      <c r="AF55" s="834">
        <v>1001.0213112166016</v>
      </c>
      <c r="AG55" s="812"/>
      <c r="AH55" s="820"/>
      <c r="AI55" s="834">
        <v>1018.7509781388227</v>
      </c>
      <c r="AJ55" s="812"/>
      <c r="AK55" s="820"/>
      <c r="AL55" s="834">
        <v>890.32270076691987</v>
      </c>
      <c r="AM55" s="812"/>
      <c r="AN55" s="820"/>
      <c r="AO55" s="834">
        <v>879.57841052310732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0.35496369658082039</v>
      </c>
      <c r="E57" s="841">
        <v>525623.14262294723</v>
      </c>
      <c r="F57" s="839" t="s">
        <v>108</v>
      </c>
      <c r="G57" s="840">
        <v>0.55507425581882197</v>
      </c>
      <c r="H57" s="841">
        <v>45441.782707010578</v>
      </c>
      <c r="I57" s="839" t="s">
        <v>108</v>
      </c>
      <c r="J57" s="840">
        <v>0.54916353351019176</v>
      </c>
      <c r="K57" s="841">
        <v>38434.623079810917</v>
      </c>
      <c r="L57" s="839" t="s">
        <v>108</v>
      </c>
      <c r="M57" s="840">
        <v>0.31326949182434916</v>
      </c>
      <c r="N57" s="841">
        <v>42785.33701412646</v>
      </c>
      <c r="O57" s="839" t="s">
        <v>108</v>
      </c>
      <c r="P57" s="840">
        <v>0.27435129771914152</v>
      </c>
      <c r="Q57" s="841">
        <v>47882.535391264631</v>
      </c>
      <c r="R57" s="839" t="s">
        <v>108</v>
      </c>
      <c r="S57" s="840">
        <v>0.25274992859648293</v>
      </c>
      <c r="T57" s="841">
        <v>49220.994101111137</v>
      </c>
      <c r="U57" s="839" t="s">
        <v>108</v>
      </c>
      <c r="V57" s="840">
        <v>0.34537256440941616</v>
      </c>
      <c r="W57" s="841">
        <v>43334.309672899304</v>
      </c>
      <c r="X57" s="839" t="s">
        <v>108</v>
      </c>
      <c r="Y57" s="840">
        <v>0.45825983000648768</v>
      </c>
      <c r="Z57" s="841">
        <v>42778.06395432062</v>
      </c>
      <c r="AA57" s="839" t="s">
        <v>108</v>
      </c>
      <c r="AB57" s="840">
        <v>0.34410635380746502</v>
      </c>
      <c r="AC57" s="841">
        <v>41252.00769470894</v>
      </c>
      <c r="AD57" s="839" t="s">
        <v>108</v>
      </c>
      <c r="AE57" s="840">
        <v>0.32587979434131809</v>
      </c>
      <c r="AF57" s="841">
        <v>44222.860526718498</v>
      </c>
      <c r="AG57" s="839" t="s">
        <v>108</v>
      </c>
      <c r="AH57" s="840">
        <v>0.32885952155053988</v>
      </c>
      <c r="AI57" s="841">
        <v>44906.417249120277</v>
      </c>
      <c r="AJ57" s="839" t="s">
        <v>108</v>
      </c>
      <c r="AK57" s="840">
        <v>0.34520007132471797</v>
      </c>
      <c r="AL57" s="841">
        <v>39029.422799029053</v>
      </c>
      <c r="AM57" s="839" t="s">
        <v>108</v>
      </c>
      <c r="AN57" s="840">
        <v>0.46775511721080493</v>
      </c>
      <c r="AO57" s="841">
        <v>46334.78843282679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79451.199999999997</v>
      </c>
      <c r="F60" s="847"/>
      <c r="G60" s="848"/>
      <c r="H60" s="849">
        <v>6620.9333333333325</v>
      </c>
      <c r="I60" s="847"/>
      <c r="J60" s="848"/>
      <c r="K60" s="849">
        <v>6620.9333333333325</v>
      </c>
      <c r="L60" s="847"/>
      <c r="M60" s="848"/>
      <c r="N60" s="849">
        <v>6620.9333333333325</v>
      </c>
      <c r="O60" s="847"/>
      <c r="P60" s="848"/>
      <c r="Q60" s="849">
        <v>6620.9333333333325</v>
      </c>
      <c r="R60" s="847"/>
      <c r="S60" s="848"/>
      <c r="T60" s="849">
        <v>6620.9333333333325</v>
      </c>
      <c r="U60" s="847"/>
      <c r="V60" s="848"/>
      <c r="W60" s="849">
        <v>6620.9333333333325</v>
      </c>
      <c r="X60" s="847"/>
      <c r="Y60" s="848"/>
      <c r="Z60" s="849">
        <v>6620.9333333333325</v>
      </c>
      <c r="AA60" s="847"/>
      <c r="AB60" s="848"/>
      <c r="AC60" s="849">
        <v>6620.9333333333325</v>
      </c>
      <c r="AD60" s="847"/>
      <c r="AE60" s="848"/>
      <c r="AF60" s="849">
        <v>6620.9333333333325</v>
      </c>
      <c r="AG60" s="847"/>
      <c r="AH60" s="848"/>
      <c r="AI60" s="849">
        <v>6620.9333333333325</v>
      </c>
      <c r="AJ60" s="847"/>
      <c r="AK60" s="848"/>
      <c r="AL60" s="849">
        <v>6620.9333333333325</v>
      </c>
      <c r="AM60" s="847"/>
      <c r="AN60" s="848"/>
      <c r="AO60" s="849">
        <v>6620.9333333333325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58539.600000000013</v>
      </c>
      <c r="F61" s="812"/>
      <c r="G61" s="820"/>
      <c r="H61" s="834">
        <v>4878.3</v>
      </c>
      <c r="I61" s="812"/>
      <c r="J61" s="820"/>
      <c r="K61" s="834">
        <v>4878.3</v>
      </c>
      <c r="L61" s="812"/>
      <c r="M61" s="820"/>
      <c r="N61" s="834">
        <v>4878.3</v>
      </c>
      <c r="O61" s="812"/>
      <c r="P61" s="820"/>
      <c r="Q61" s="834">
        <v>4878.3</v>
      </c>
      <c r="R61" s="812"/>
      <c r="S61" s="820"/>
      <c r="T61" s="834">
        <v>4878.3</v>
      </c>
      <c r="U61" s="812"/>
      <c r="V61" s="820"/>
      <c r="W61" s="834">
        <v>4878.3</v>
      </c>
      <c r="X61" s="812"/>
      <c r="Y61" s="820"/>
      <c r="Z61" s="834">
        <v>4878.3</v>
      </c>
      <c r="AA61" s="812"/>
      <c r="AB61" s="820"/>
      <c r="AC61" s="834">
        <v>4878.3</v>
      </c>
      <c r="AD61" s="812"/>
      <c r="AE61" s="820"/>
      <c r="AF61" s="834">
        <v>4878.3</v>
      </c>
      <c r="AG61" s="812"/>
      <c r="AH61" s="820"/>
      <c r="AI61" s="834">
        <v>4878.3</v>
      </c>
      <c r="AJ61" s="812"/>
      <c r="AK61" s="820"/>
      <c r="AL61" s="834">
        <v>4878.3</v>
      </c>
      <c r="AM61" s="812"/>
      <c r="AN61" s="820"/>
      <c r="AO61" s="834">
        <v>4878.3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9900</v>
      </c>
      <c r="F62" s="812"/>
      <c r="G62" s="820"/>
      <c r="H62" s="834">
        <v>825</v>
      </c>
      <c r="I62" s="812"/>
      <c r="J62" s="820"/>
      <c r="K62" s="834">
        <v>825</v>
      </c>
      <c r="L62" s="812"/>
      <c r="M62" s="820"/>
      <c r="N62" s="834">
        <v>825</v>
      </c>
      <c r="O62" s="812"/>
      <c r="P62" s="820"/>
      <c r="Q62" s="834">
        <v>825</v>
      </c>
      <c r="R62" s="812"/>
      <c r="S62" s="820"/>
      <c r="T62" s="834">
        <v>825</v>
      </c>
      <c r="U62" s="812"/>
      <c r="V62" s="820"/>
      <c r="W62" s="834">
        <v>825</v>
      </c>
      <c r="X62" s="812"/>
      <c r="Y62" s="820"/>
      <c r="Z62" s="834">
        <v>825</v>
      </c>
      <c r="AA62" s="812"/>
      <c r="AB62" s="820"/>
      <c r="AC62" s="834">
        <v>825</v>
      </c>
      <c r="AD62" s="812"/>
      <c r="AE62" s="820"/>
      <c r="AF62" s="834">
        <v>825</v>
      </c>
      <c r="AG62" s="812"/>
      <c r="AH62" s="820"/>
      <c r="AI62" s="834">
        <v>825</v>
      </c>
      <c r="AJ62" s="812"/>
      <c r="AK62" s="820"/>
      <c r="AL62" s="834">
        <v>825</v>
      </c>
      <c r="AM62" s="812"/>
      <c r="AN62" s="820"/>
      <c r="AO62" s="834">
        <v>825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39776.399999999994</v>
      </c>
      <c r="F63" s="847"/>
      <c r="G63" s="848"/>
      <c r="H63" s="849">
        <v>3314.7000000000003</v>
      </c>
      <c r="I63" s="847"/>
      <c r="J63" s="848"/>
      <c r="K63" s="849">
        <v>3314.7000000000003</v>
      </c>
      <c r="L63" s="847"/>
      <c r="M63" s="848"/>
      <c r="N63" s="849">
        <v>3314.7000000000003</v>
      </c>
      <c r="O63" s="847"/>
      <c r="P63" s="848"/>
      <c r="Q63" s="849">
        <v>3314.7000000000003</v>
      </c>
      <c r="R63" s="847"/>
      <c r="S63" s="848"/>
      <c r="T63" s="849">
        <v>3314.7000000000003</v>
      </c>
      <c r="U63" s="847"/>
      <c r="V63" s="848"/>
      <c r="W63" s="849">
        <v>3314.7000000000003</v>
      </c>
      <c r="X63" s="847"/>
      <c r="Y63" s="848"/>
      <c r="Z63" s="849">
        <v>3314.7000000000003</v>
      </c>
      <c r="AA63" s="847"/>
      <c r="AB63" s="848"/>
      <c r="AC63" s="849">
        <v>3314.7000000000003</v>
      </c>
      <c r="AD63" s="847"/>
      <c r="AE63" s="848"/>
      <c r="AF63" s="849">
        <v>3314.7000000000003</v>
      </c>
      <c r="AG63" s="847"/>
      <c r="AH63" s="848"/>
      <c r="AI63" s="849">
        <v>3314.7000000000003</v>
      </c>
      <c r="AJ63" s="847"/>
      <c r="AK63" s="848"/>
      <c r="AL63" s="849">
        <v>3314.7000000000003</v>
      </c>
      <c r="AM63" s="847"/>
      <c r="AN63" s="848"/>
      <c r="AO63" s="849">
        <v>3314.7000000000003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480</v>
      </c>
      <c r="F64" s="812"/>
      <c r="G64" s="820"/>
      <c r="H64" s="834">
        <v>40</v>
      </c>
      <c r="I64" s="812"/>
      <c r="J64" s="820"/>
      <c r="K64" s="834">
        <v>40</v>
      </c>
      <c r="L64" s="812"/>
      <c r="M64" s="820"/>
      <c r="N64" s="834">
        <v>40</v>
      </c>
      <c r="O64" s="812"/>
      <c r="P64" s="820"/>
      <c r="Q64" s="834">
        <v>40</v>
      </c>
      <c r="R64" s="812"/>
      <c r="S64" s="820"/>
      <c r="T64" s="834">
        <v>40</v>
      </c>
      <c r="U64" s="812"/>
      <c r="V64" s="820"/>
      <c r="W64" s="834">
        <v>40</v>
      </c>
      <c r="X64" s="812"/>
      <c r="Y64" s="820"/>
      <c r="Z64" s="834">
        <v>40</v>
      </c>
      <c r="AA64" s="812"/>
      <c r="AB64" s="820"/>
      <c r="AC64" s="834">
        <v>40</v>
      </c>
      <c r="AD64" s="812"/>
      <c r="AE64" s="820"/>
      <c r="AF64" s="834">
        <v>40</v>
      </c>
      <c r="AG64" s="812"/>
      <c r="AH64" s="820"/>
      <c r="AI64" s="834">
        <v>40</v>
      </c>
      <c r="AJ64" s="812"/>
      <c r="AK64" s="820"/>
      <c r="AL64" s="834">
        <v>40</v>
      </c>
      <c r="AM64" s="812"/>
      <c r="AN64" s="820"/>
      <c r="AO64" s="834">
        <v>40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360</v>
      </c>
      <c r="F65" s="812"/>
      <c r="G65" s="820"/>
      <c r="H65" s="834">
        <v>30</v>
      </c>
      <c r="I65" s="812"/>
      <c r="J65" s="820"/>
      <c r="K65" s="834">
        <v>30</v>
      </c>
      <c r="L65" s="812"/>
      <c r="M65" s="820"/>
      <c r="N65" s="834">
        <v>30</v>
      </c>
      <c r="O65" s="812"/>
      <c r="P65" s="820"/>
      <c r="Q65" s="834">
        <v>30</v>
      </c>
      <c r="R65" s="812"/>
      <c r="S65" s="820"/>
      <c r="T65" s="834">
        <v>30</v>
      </c>
      <c r="U65" s="812"/>
      <c r="V65" s="820"/>
      <c r="W65" s="834">
        <v>30</v>
      </c>
      <c r="X65" s="812"/>
      <c r="Y65" s="820"/>
      <c r="Z65" s="834">
        <v>30</v>
      </c>
      <c r="AA65" s="812"/>
      <c r="AB65" s="820"/>
      <c r="AC65" s="834">
        <v>30</v>
      </c>
      <c r="AD65" s="812"/>
      <c r="AE65" s="820"/>
      <c r="AF65" s="834">
        <v>30</v>
      </c>
      <c r="AG65" s="812"/>
      <c r="AH65" s="820"/>
      <c r="AI65" s="834">
        <v>30</v>
      </c>
      <c r="AJ65" s="812"/>
      <c r="AK65" s="820"/>
      <c r="AL65" s="834">
        <v>30</v>
      </c>
      <c r="AM65" s="812"/>
      <c r="AN65" s="820"/>
      <c r="AO65" s="834">
        <v>30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8505</v>
      </c>
      <c r="F66" s="812"/>
      <c r="G66" s="820"/>
      <c r="H66" s="834">
        <v>708.75</v>
      </c>
      <c r="I66" s="812"/>
      <c r="J66" s="820"/>
      <c r="K66" s="834">
        <v>708.75</v>
      </c>
      <c r="L66" s="812"/>
      <c r="M66" s="820"/>
      <c r="N66" s="834">
        <v>708.75</v>
      </c>
      <c r="O66" s="812"/>
      <c r="P66" s="820"/>
      <c r="Q66" s="834">
        <v>708.75</v>
      </c>
      <c r="R66" s="812"/>
      <c r="S66" s="820"/>
      <c r="T66" s="834">
        <v>708.75</v>
      </c>
      <c r="U66" s="812"/>
      <c r="V66" s="820"/>
      <c r="W66" s="834">
        <v>708.75</v>
      </c>
      <c r="X66" s="812"/>
      <c r="Y66" s="820"/>
      <c r="Z66" s="834">
        <v>708.75</v>
      </c>
      <c r="AA66" s="812"/>
      <c r="AB66" s="820"/>
      <c r="AC66" s="834">
        <v>708.75</v>
      </c>
      <c r="AD66" s="812"/>
      <c r="AE66" s="820"/>
      <c r="AF66" s="834">
        <v>708.75</v>
      </c>
      <c r="AG66" s="812"/>
      <c r="AH66" s="820"/>
      <c r="AI66" s="834">
        <v>708.75</v>
      </c>
      <c r="AJ66" s="812"/>
      <c r="AK66" s="820"/>
      <c r="AL66" s="834">
        <v>708.75</v>
      </c>
      <c r="AM66" s="812"/>
      <c r="AN66" s="820"/>
      <c r="AO66" s="834">
        <v>708.75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2430</v>
      </c>
      <c r="F68" s="812"/>
      <c r="G68" s="820"/>
      <c r="H68" s="834">
        <v>202.5</v>
      </c>
      <c r="I68" s="812"/>
      <c r="J68" s="820"/>
      <c r="K68" s="834">
        <v>202.5</v>
      </c>
      <c r="L68" s="812"/>
      <c r="M68" s="820"/>
      <c r="N68" s="834">
        <v>202.5</v>
      </c>
      <c r="O68" s="812"/>
      <c r="P68" s="820"/>
      <c r="Q68" s="834">
        <v>202.5</v>
      </c>
      <c r="R68" s="812"/>
      <c r="S68" s="820"/>
      <c r="T68" s="834">
        <v>202.5</v>
      </c>
      <c r="U68" s="812"/>
      <c r="V68" s="820"/>
      <c r="W68" s="834">
        <v>202.5</v>
      </c>
      <c r="X68" s="812"/>
      <c r="Y68" s="820"/>
      <c r="Z68" s="834">
        <v>202.5</v>
      </c>
      <c r="AA68" s="812"/>
      <c r="AB68" s="820"/>
      <c r="AC68" s="834">
        <v>202.5</v>
      </c>
      <c r="AD68" s="812"/>
      <c r="AE68" s="820"/>
      <c r="AF68" s="834">
        <v>202.5</v>
      </c>
      <c r="AG68" s="812"/>
      <c r="AH68" s="820"/>
      <c r="AI68" s="834">
        <v>202.5</v>
      </c>
      <c r="AJ68" s="812"/>
      <c r="AK68" s="820"/>
      <c r="AL68" s="834">
        <v>202.5</v>
      </c>
      <c r="AM68" s="812"/>
      <c r="AN68" s="820"/>
      <c r="AO68" s="834">
        <v>202.5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9401.4</v>
      </c>
      <c r="F69" s="812"/>
      <c r="G69" s="820"/>
      <c r="H69" s="834">
        <v>783.45</v>
      </c>
      <c r="I69" s="812"/>
      <c r="J69" s="820"/>
      <c r="K69" s="834">
        <v>783.45</v>
      </c>
      <c r="L69" s="812"/>
      <c r="M69" s="820"/>
      <c r="N69" s="834">
        <v>783.45</v>
      </c>
      <c r="O69" s="812"/>
      <c r="P69" s="820"/>
      <c r="Q69" s="834">
        <v>783.45</v>
      </c>
      <c r="R69" s="812"/>
      <c r="S69" s="820"/>
      <c r="T69" s="834">
        <v>783.45</v>
      </c>
      <c r="U69" s="812"/>
      <c r="V69" s="820"/>
      <c r="W69" s="834">
        <v>783.45</v>
      </c>
      <c r="X69" s="812"/>
      <c r="Y69" s="820"/>
      <c r="Z69" s="834">
        <v>783.45</v>
      </c>
      <c r="AA69" s="812"/>
      <c r="AB69" s="820"/>
      <c r="AC69" s="834">
        <v>783.45</v>
      </c>
      <c r="AD69" s="812"/>
      <c r="AE69" s="820"/>
      <c r="AF69" s="834">
        <v>783.45</v>
      </c>
      <c r="AG69" s="812"/>
      <c r="AH69" s="820"/>
      <c r="AI69" s="834">
        <v>783.45</v>
      </c>
      <c r="AJ69" s="812"/>
      <c r="AK69" s="820"/>
      <c r="AL69" s="834">
        <v>783.45</v>
      </c>
      <c r="AM69" s="812"/>
      <c r="AN69" s="820"/>
      <c r="AO69" s="834">
        <v>783.45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6698.2021199999981</v>
      </c>
      <c r="F70" s="812"/>
      <c r="G70" s="820"/>
      <c r="H70" s="834">
        <v>558.18350999999984</v>
      </c>
      <c r="I70" s="812"/>
      <c r="J70" s="820"/>
      <c r="K70" s="834">
        <v>558.18350999999984</v>
      </c>
      <c r="L70" s="812"/>
      <c r="M70" s="820"/>
      <c r="N70" s="834">
        <v>558.18350999999984</v>
      </c>
      <c r="O70" s="812"/>
      <c r="P70" s="820"/>
      <c r="Q70" s="834">
        <v>558.18350999999984</v>
      </c>
      <c r="R70" s="812"/>
      <c r="S70" s="820"/>
      <c r="T70" s="834">
        <v>558.18350999999984</v>
      </c>
      <c r="U70" s="812"/>
      <c r="V70" s="820"/>
      <c r="W70" s="834">
        <v>558.18350999999984</v>
      </c>
      <c r="X70" s="812"/>
      <c r="Y70" s="820"/>
      <c r="Z70" s="834">
        <v>558.18350999999984</v>
      </c>
      <c r="AA70" s="812"/>
      <c r="AB70" s="820"/>
      <c r="AC70" s="834">
        <v>558.18350999999984</v>
      </c>
      <c r="AD70" s="812"/>
      <c r="AE70" s="820"/>
      <c r="AF70" s="834">
        <v>558.18350999999984</v>
      </c>
      <c r="AG70" s="812"/>
      <c r="AH70" s="820"/>
      <c r="AI70" s="834">
        <v>558.18350999999984</v>
      </c>
      <c r="AJ70" s="812"/>
      <c r="AK70" s="820"/>
      <c r="AL70" s="834">
        <v>558.18350999999984</v>
      </c>
      <c r="AM70" s="812"/>
      <c r="AN70" s="820"/>
      <c r="AO70" s="834">
        <v>558.18350999999984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35336.857952647064</v>
      </c>
      <c r="F71" s="812"/>
      <c r="G71" s="820"/>
      <c r="H71" s="834">
        <v>1978.1525336525144</v>
      </c>
      <c r="I71" s="812"/>
      <c r="J71" s="820"/>
      <c r="K71" s="834">
        <v>1924.5834983479594</v>
      </c>
      <c r="L71" s="812"/>
      <c r="M71" s="820"/>
      <c r="N71" s="834">
        <v>3086.10640119767</v>
      </c>
      <c r="O71" s="812"/>
      <c r="P71" s="820"/>
      <c r="Q71" s="834">
        <v>4083.3970470364588</v>
      </c>
      <c r="R71" s="812"/>
      <c r="S71" s="820"/>
      <c r="T71" s="834">
        <v>4231.9164480094214</v>
      </c>
      <c r="U71" s="812"/>
      <c r="V71" s="820"/>
      <c r="W71" s="834">
        <v>2960.1436751398351</v>
      </c>
      <c r="X71" s="812"/>
      <c r="Y71" s="820"/>
      <c r="Z71" s="834">
        <v>2687.6325692189189</v>
      </c>
      <c r="AA71" s="812"/>
      <c r="AB71" s="820"/>
      <c r="AC71" s="834">
        <v>3142.637042597662</v>
      </c>
      <c r="AD71" s="812"/>
      <c r="AE71" s="820"/>
      <c r="AF71" s="834">
        <v>3122.0301003257127</v>
      </c>
      <c r="AG71" s="812"/>
      <c r="AH71" s="820"/>
      <c r="AI71" s="834">
        <v>3106.8634265171104</v>
      </c>
      <c r="AJ71" s="812"/>
      <c r="AK71" s="820"/>
      <c r="AL71" s="834">
        <v>2870.8287847472384</v>
      </c>
      <c r="AM71" s="812"/>
      <c r="AN71" s="820"/>
      <c r="AO71" s="834">
        <v>2142.5664258565575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0.17112836482978366</v>
      </c>
      <c r="E75" s="841">
        <v>253403.46007264705</v>
      </c>
      <c r="F75" s="839" t="s">
        <v>108</v>
      </c>
      <c r="G75" s="840">
        <v>0.24613803904923015</v>
      </c>
      <c r="H75" s="841">
        <v>20150.369376985851</v>
      </c>
      <c r="I75" s="839" t="s">
        <v>108</v>
      </c>
      <c r="J75" s="840">
        <v>0.28714812332018902</v>
      </c>
      <c r="K75" s="841">
        <v>20096.800341681294</v>
      </c>
      <c r="L75" s="839" t="s">
        <v>108</v>
      </c>
      <c r="M75" s="840">
        <v>0.15565108480162673</v>
      </c>
      <c r="N75" s="841">
        <v>21258.323244531006</v>
      </c>
      <c r="O75" s="839" t="s">
        <v>108</v>
      </c>
      <c r="P75" s="840">
        <v>0.12751740279552984</v>
      </c>
      <c r="Q75" s="841">
        <v>22255.613890369794</v>
      </c>
      <c r="R75" s="839" t="s">
        <v>108</v>
      </c>
      <c r="S75" s="840">
        <v>0.11504528084135418</v>
      </c>
      <c r="T75" s="841">
        <v>22404.133291342758</v>
      </c>
      <c r="U75" s="839" t="s">
        <v>108</v>
      </c>
      <c r="V75" s="840">
        <v>0.16842399473721825</v>
      </c>
      <c r="W75" s="841">
        <v>21132.360518473171</v>
      </c>
      <c r="X75" s="839" t="s">
        <v>108</v>
      </c>
      <c r="Y75" s="840">
        <v>0.22346104900784408</v>
      </c>
      <c r="Z75" s="841">
        <v>20859.849412552256</v>
      </c>
      <c r="AA75" s="839" t="s">
        <v>108</v>
      </c>
      <c r="AB75" s="840">
        <v>0.17779926511473376</v>
      </c>
      <c r="AC75" s="841">
        <v>21314.853885930999</v>
      </c>
      <c r="AD75" s="839" t="s">
        <v>108</v>
      </c>
      <c r="AE75" s="840">
        <v>0.15691804492068614</v>
      </c>
      <c r="AF75" s="841">
        <v>21294.246943659047</v>
      </c>
      <c r="AG75" s="839" t="s">
        <v>108</v>
      </c>
      <c r="AH75" s="840">
        <v>0.15583136186879035</v>
      </c>
      <c r="AI75" s="841">
        <v>21279.080269850445</v>
      </c>
      <c r="AJ75" s="839" t="s">
        <v>108</v>
      </c>
      <c r="AK75" s="840">
        <v>0.1861175577488535</v>
      </c>
      <c r="AL75" s="841">
        <v>21043.045628080574</v>
      </c>
      <c r="AM75" s="839" t="s">
        <v>108</v>
      </c>
      <c r="AN75" s="840">
        <v>0.20508011691836919</v>
      </c>
      <c r="AO75" s="841">
        <v>20314.783269189895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1.1609470461723823</v>
      </c>
      <c r="E77" s="850">
        <v>1719107.1670311403</v>
      </c>
      <c r="F77" s="839" t="s">
        <v>108</v>
      </c>
      <c r="G77" s="840">
        <v>1.5437556998360353</v>
      </c>
      <c r="H77" s="850">
        <v>126381.30903976868</v>
      </c>
      <c r="I77" s="839" t="s">
        <v>108</v>
      </c>
      <c r="J77" s="840">
        <v>1.635614769576073</v>
      </c>
      <c r="K77" s="850">
        <v>114472.70864947457</v>
      </c>
      <c r="L77" s="839" t="s">
        <v>108</v>
      </c>
      <c r="M77" s="840">
        <v>1.1074182892398556</v>
      </c>
      <c r="N77" s="850">
        <v>151247.61892645893</v>
      </c>
      <c r="O77" s="839" t="s">
        <v>108</v>
      </c>
      <c r="P77" s="840">
        <v>0.99034140421851313</v>
      </c>
      <c r="Q77" s="850">
        <v>172844.29755266715</v>
      </c>
      <c r="R77" s="839" t="s">
        <v>108</v>
      </c>
      <c r="S77" s="840">
        <v>0.93128299003290582</v>
      </c>
      <c r="T77" s="850">
        <v>181359.79231889942</v>
      </c>
      <c r="U77" s="839" t="s">
        <v>108</v>
      </c>
      <c r="V77" s="840">
        <v>1.1321992479444722</v>
      </c>
      <c r="W77" s="850">
        <v>142058.39686700897</v>
      </c>
      <c r="X77" s="839" t="s">
        <v>108</v>
      </c>
      <c r="Y77" s="840">
        <v>1.3845595232871277</v>
      </c>
      <c r="Z77" s="850">
        <v>129247.14748596206</v>
      </c>
      <c r="AA77" s="839" t="s">
        <v>108</v>
      </c>
      <c r="AB77" s="840">
        <v>1.1665491178818546</v>
      </c>
      <c r="AC77" s="850">
        <v>139847.73211727376</v>
      </c>
      <c r="AD77" s="839" t="s">
        <v>108</v>
      </c>
      <c r="AE77" s="840">
        <v>1.0950770491393365</v>
      </c>
      <c r="AF77" s="850">
        <v>148605.22330935829</v>
      </c>
      <c r="AG77" s="839" t="s">
        <v>108</v>
      </c>
      <c r="AH77" s="840">
        <v>1.0935791090485656</v>
      </c>
      <c r="AI77" s="850">
        <v>149330.38743811756</v>
      </c>
      <c r="AJ77" s="839" t="s">
        <v>108</v>
      </c>
      <c r="AK77" s="840">
        <v>1.1633639887971099</v>
      </c>
      <c r="AL77" s="850">
        <v>131533.64891751704</v>
      </c>
      <c r="AM77" s="839" t="s">
        <v>108</v>
      </c>
      <c r="AN77" s="840">
        <v>1.3343615243671532</v>
      </c>
      <c r="AO77" s="850">
        <v>132178.90440863383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435312.80699999997</v>
      </c>
      <c r="F78" s="812"/>
      <c r="G78" s="820"/>
      <c r="H78" s="834">
        <v>23744.334927272728</v>
      </c>
      <c r="I78" s="812"/>
      <c r="J78" s="820"/>
      <c r="K78" s="834">
        <v>20578.423603636365</v>
      </c>
      <c r="L78" s="812"/>
      <c r="M78" s="820"/>
      <c r="N78" s="834">
        <v>41156.847207272731</v>
      </c>
      <c r="O78" s="812"/>
      <c r="P78" s="820"/>
      <c r="Q78" s="834">
        <v>52237.536840000001</v>
      </c>
      <c r="R78" s="812"/>
      <c r="S78" s="820"/>
      <c r="T78" s="834">
        <v>56986.403825454545</v>
      </c>
      <c r="U78" s="812"/>
      <c r="V78" s="820"/>
      <c r="W78" s="834">
        <v>36407.980221818179</v>
      </c>
      <c r="X78" s="812"/>
      <c r="Y78" s="820"/>
      <c r="Z78" s="834">
        <v>26910.246250909091</v>
      </c>
      <c r="AA78" s="812"/>
      <c r="AB78" s="820"/>
      <c r="AC78" s="834">
        <v>34825.024559999998</v>
      </c>
      <c r="AD78" s="812"/>
      <c r="AE78" s="820"/>
      <c r="AF78" s="834">
        <v>41156.847207272731</v>
      </c>
      <c r="AG78" s="812"/>
      <c r="AH78" s="820"/>
      <c r="AI78" s="834">
        <v>39573.891545454549</v>
      </c>
      <c r="AJ78" s="812"/>
      <c r="AK78" s="820"/>
      <c r="AL78" s="834">
        <v>33242.068898181817</v>
      </c>
      <c r="AM78" s="812"/>
      <c r="AN78" s="820"/>
      <c r="AO78" s="834">
        <v>28493.201912727272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470608.44</v>
      </c>
      <c r="F81" s="812"/>
      <c r="G81" s="820"/>
      <c r="H81" s="834">
        <v>25669.551272727276</v>
      </c>
      <c r="I81" s="812"/>
      <c r="J81" s="820"/>
      <c r="K81" s="834">
        <v>22246.944436363639</v>
      </c>
      <c r="L81" s="812"/>
      <c r="M81" s="820"/>
      <c r="N81" s="834">
        <v>44493.888872727279</v>
      </c>
      <c r="O81" s="812"/>
      <c r="P81" s="820"/>
      <c r="Q81" s="834">
        <v>56473.012800000004</v>
      </c>
      <c r="R81" s="812"/>
      <c r="S81" s="820"/>
      <c r="T81" s="834">
        <v>61606.923054545456</v>
      </c>
      <c r="U81" s="812"/>
      <c r="V81" s="820"/>
      <c r="W81" s="834">
        <v>39359.97861818182</v>
      </c>
      <c r="X81" s="812"/>
      <c r="Y81" s="820"/>
      <c r="Z81" s="834">
        <v>29092.158109090909</v>
      </c>
      <c r="AA81" s="812"/>
      <c r="AB81" s="820"/>
      <c r="AC81" s="834">
        <v>37648.675199999998</v>
      </c>
      <c r="AD81" s="812"/>
      <c r="AE81" s="820"/>
      <c r="AF81" s="834">
        <v>44493.888872727279</v>
      </c>
      <c r="AG81" s="812"/>
      <c r="AH81" s="820"/>
      <c r="AI81" s="834">
        <v>42782.585454545457</v>
      </c>
      <c r="AJ81" s="812"/>
      <c r="AK81" s="820"/>
      <c r="AL81" s="834">
        <v>35937.371781818183</v>
      </c>
      <c r="AM81" s="812"/>
      <c r="AN81" s="820"/>
      <c r="AO81" s="834">
        <v>30803.461527272728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159412.4</v>
      </c>
      <c r="F85" s="812"/>
      <c r="G85" s="820"/>
      <c r="H85" s="834">
        <v>8791.125</v>
      </c>
      <c r="I85" s="812"/>
      <c r="J85" s="820"/>
      <c r="K85" s="834">
        <v>7618.9749999999995</v>
      </c>
      <c r="L85" s="812"/>
      <c r="M85" s="820"/>
      <c r="N85" s="834">
        <v>14651.875</v>
      </c>
      <c r="O85" s="812"/>
      <c r="P85" s="820"/>
      <c r="Q85" s="834">
        <v>18754.400000000001</v>
      </c>
      <c r="R85" s="812"/>
      <c r="S85" s="820"/>
      <c r="T85" s="834">
        <v>21098.7</v>
      </c>
      <c r="U85" s="812"/>
      <c r="V85" s="820"/>
      <c r="W85" s="834">
        <v>13479.725</v>
      </c>
      <c r="X85" s="812"/>
      <c r="Y85" s="820"/>
      <c r="Z85" s="834">
        <v>9963.2749999999996</v>
      </c>
      <c r="AA85" s="812"/>
      <c r="AB85" s="820"/>
      <c r="AC85" s="834">
        <v>12893.65</v>
      </c>
      <c r="AD85" s="812"/>
      <c r="AE85" s="820"/>
      <c r="AF85" s="834">
        <v>14651.875</v>
      </c>
      <c r="AG85" s="812"/>
      <c r="AH85" s="820"/>
      <c r="AI85" s="834">
        <v>14651.875</v>
      </c>
      <c r="AJ85" s="812"/>
      <c r="AK85" s="820"/>
      <c r="AL85" s="834">
        <v>12307.575000000001</v>
      </c>
      <c r="AM85" s="812"/>
      <c r="AN85" s="820"/>
      <c r="AO85" s="834">
        <v>10549.35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1065333.6469999999</v>
      </c>
      <c r="F86" s="851"/>
      <c r="G86" s="852"/>
      <c r="H86" s="853">
        <v>58205.011200000008</v>
      </c>
      <c r="I86" s="851"/>
      <c r="J86" s="852"/>
      <c r="K86" s="853">
        <v>50444.34304</v>
      </c>
      <c r="L86" s="851"/>
      <c r="M86" s="852"/>
      <c r="N86" s="853">
        <v>100302.61108</v>
      </c>
      <c r="O86" s="851"/>
      <c r="P86" s="852"/>
      <c r="Q86" s="853">
        <v>127464.94964000001</v>
      </c>
      <c r="R86" s="851"/>
      <c r="S86" s="852"/>
      <c r="T86" s="853">
        <v>139692.02688000002</v>
      </c>
      <c r="U86" s="851"/>
      <c r="V86" s="852"/>
      <c r="W86" s="853">
        <v>89247.683840000012</v>
      </c>
      <c r="X86" s="851"/>
      <c r="Y86" s="852"/>
      <c r="Z86" s="853">
        <v>65965.679359999995</v>
      </c>
      <c r="AA86" s="851"/>
      <c r="AB86" s="852"/>
      <c r="AC86" s="853">
        <v>85367.349759999983</v>
      </c>
      <c r="AD86" s="851"/>
      <c r="AE86" s="852"/>
      <c r="AF86" s="853">
        <v>100302.61108</v>
      </c>
      <c r="AG86" s="851"/>
      <c r="AH86" s="852"/>
      <c r="AI86" s="853">
        <v>97008.352000000014</v>
      </c>
      <c r="AJ86" s="851"/>
      <c r="AK86" s="852"/>
      <c r="AL86" s="853">
        <v>81487.015679999997</v>
      </c>
      <c r="AM86" s="851"/>
      <c r="AN86" s="852"/>
      <c r="AO86" s="853">
        <v>69846.01344000001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827006.47996885958</v>
      </c>
      <c r="F88" s="857"/>
      <c r="G88" s="858"/>
      <c r="H88" s="859">
        <v>13689.834899493013</v>
      </c>
      <c r="I88" s="857"/>
      <c r="J88" s="858"/>
      <c r="K88" s="859">
        <v>5959.2077352832493</v>
      </c>
      <c r="L88" s="857"/>
      <c r="M88" s="858"/>
      <c r="N88" s="859">
        <v>85631.767520215741</v>
      </c>
      <c r="O88" s="857"/>
      <c r="P88" s="858"/>
      <c r="Q88" s="859">
        <v>129150.6644814527</v>
      </c>
      <c r="R88" s="857"/>
      <c r="S88" s="858"/>
      <c r="T88" s="859">
        <v>153074.10600072742</v>
      </c>
      <c r="U88" s="857"/>
      <c r="V88" s="858"/>
      <c r="W88" s="859">
        <v>72660.485726142055</v>
      </c>
      <c r="X88" s="857"/>
      <c r="Y88" s="858"/>
      <c r="Z88" s="859">
        <v>30067.460043707528</v>
      </c>
      <c r="AA88" s="857"/>
      <c r="AB88" s="858"/>
      <c r="AC88" s="859">
        <v>65401.181113624349</v>
      </c>
      <c r="AD88" s="857"/>
      <c r="AE88" s="858"/>
      <c r="AF88" s="859">
        <v>87400.37179916547</v>
      </c>
      <c r="AG88" s="857"/>
      <c r="AH88" s="858"/>
      <c r="AI88" s="859">
        <v>84229.939816821076</v>
      </c>
      <c r="AJ88" s="857"/>
      <c r="AK88" s="858"/>
      <c r="AL88" s="859">
        <v>63016.561243446427</v>
      </c>
      <c r="AM88" s="857"/>
      <c r="AN88" s="858"/>
      <c r="AO88" s="859">
        <v>36724.899588780696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2938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2025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17054705.882352937</v>
      </c>
      <c r="F96" s="801"/>
      <c r="G96" s="802"/>
      <c r="H96" s="866">
        <v>950117.6470588235</v>
      </c>
      <c r="I96" s="801"/>
      <c r="J96" s="802"/>
      <c r="K96" s="866">
        <v>1083647.0588235294</v>
      </c>
      <c r="L96" s="801"/>
      <c r="M96" s="802"/>
      <c r="N96" s="866">
        <v>1377176.4705882352</v>
      </c>
      <c r="O96" s="801"/>
      <c r="P96" s="802"/>
      <c r="Q96" s="866">
        <v>2001764.705882353</v>
      </c>
      <c r="R96" s="801"/>
      <c r="S96" s="802"/>
      <c r="T96" s="866">
        <v>1804235.294117647</v>
      </c>
      <c r="U96" s="801"/>
      <c r="V96" s="802"/>
      <c r="W96" s="866">
        <v>1409176.4705882352</v>
      </c>
      <c r="X96" s="801"/>
      <c r="Y96" s="802"/>
      <c r="Z96" s="866">
        <v>1606705.8823529412</v>
      </c>
      <c r="AA96" s="801"/>
      <c r="AB96" s="802"/>
      <c r="AC96" s="866">
        <v>1804235.294117647</v>
      </c>
      <c r="AD96" s="801"/>
      <c r="AE96" s="802"/>
      <c r="AF96" s="866">
        <v>1409176.4705882352</v>
      </c>
      <c r="AG96" s="801"/>
      <c r="AH96" s="802"/>
      <c r="AI96" s="866">
        <v>1377176.4705882352</v>
      </c>
      <c r="AJ96" s="801"/>
      <c r="AK96" s="802"/>
      <c r="AL96" s="866">
        <v>1345176.4705882352</v>
      </c>
      <c r="AM96" s="801"/>
      <c r="AN96" s="802"/>
      <c r="AO96" s="866">
        <v>886117.6470588235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75</v>
      </c>
      <c r="D97" s="805">
        <v>2300</v>
      </c>
      <c r="E97" s="806">
        <v>172500</v>
      </c>
      <c r="F97" s="804">
        <v>4</v>
      </c>
      <c r="G97" s="805">
        <v>2300</v>
      </c>
      <c r="H97" s="806">
        <v>9200</v>
      </c>
      <c r="I97" s="804">
        <v>5</v>
      </c>
      <c r="J97" s="805">
        <v>2300</v>
      </c>
      <c r="K97" s="806">
        <v>11500</v>
      </c>
      <c r="L97" s="804">
        <v>6</v>
      </c>
      <c r="M97" s="805">
        <v>2300</v>
      </c>
      <c r="N97" s="806">
        <v>13800</v>
      </c>
      <c r="O97" s="804">
        <v>9</v>
      </c>
      <c r="P97" s="805">
        <v>2300</v>
      </c>
      <c r="Q97" s="806">
        <v>20700</v>
      </c>
      <c r="R97" s="804">
        <v>8</v>
      </c>
      <c r="S97" s="805">
        <v>2300</v>
      </c>
      <c r="T97" s="806">
        <v>18400</v>
      </c>
      <c r="U97" s="804">
        <v>6</v>
      </c>
      <c r="V97" s="805">
        <v>2300</v>
      </c>
      <c r="W97" s="806">
        <v>13800</v>
      </c>
      <c r="X97" s="804">
        <v>7</v>
      </c>
      <c r="Y97" s="805">
        <v>2300</v>
      </c>
      <c r="Z97" s="806">
        <v>16100</v>
      </c>
      <c r="AA97" s="804">
        <v>8</v>
      </c>
      <c r="AB97" s="805">
        <v>2300</v>
      </c>
      <c r="AC97" s="806">
        <v>18400</v>
      </c>
      <c r="AD97" s="804">
        <v>6</v>
      </c>
      <c r="AE97" s="805">
        <v>2300</v>
      </c>
      <c r="AF97" s="806">
        <v>13800</v>
      </c>
      <c r="AG97" s="804">
        <v>6</v>
      </c>
      <c r="AH97" s="805">
        <v>2300</v>
      </c>
      <c r="AI97" s="806">
        <v>13800</v>
      </c>
      <c r="AJ97" s="804">
        <v>6</v>
      </c>
      <c r="AK97" s="805">
        <v>2300</v>
      </c>
      <c r="AL97" s="806">
        <v>13800</v>
      </c>
      <c r="AM97" s="804">
        <v>4</v>
      </c>
      <c r="AN97" s="805">
        <v>2300</v>
      </c>
      <c r="AO97" s="806">
        <v>9200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75</v>
      </c>
      <c r="D98" s="805">
        <v>1600</v>
      </c>
      <c r="E98" s="806">
        <v>120000</v>
      </c>
      <c r="F98" s="804">
        <v>4</v>
      </c>
      <c r="G98" s="805">
        <v>1600</v>
      </c>
      <c r="H98" s="806">
        <v>6400</v>
      </c>
      <c r="I98" s="804">
        <v>5</v>
      </c>
      <c r="J98" s="805">
        <v>1600</v>
      </c>
      <c r="K98" s="806">
        <v>8000</v>
      </c>
      <c r="L98" s="804">
        <v>6</v>
      </c>
      <c r="M98" s="805">
        <v>1600</v>
      </c>
      <c r="N98" s="806">
        <v>9600</v>
      </c>
      <c r="O98" s="804">
        <v>9</v>
      </c>
      <c r="P98" s="805">
        <v>1600</v>
      </c>
      <c r="Q98" s="806">
        <v>14400</v>
      </c>
      <c r="R98" s="804">
        <v>8</v>
      </c>
      <c r="S98" s="805">
        <v>1600</v>
      </c>
      <c r="T98" s="806">
        <v>12800</v>
      </c>
      <c r="U98" s="804">
        <v>6</v>
      </c>
      <c r="V98" s="805">
        <v>1600</v>
      </c>
      <c r="W98" s="806">
        <v>9600</v>
      </c>
      <c r="X98" s="804">
        <v>7</v>
      </c>
      <c r="Y98" s="805">
        <v>1600</v>
      </c>
      <c r="Z98" s="806">
        <v>11200</v>
      </c>
      <c r="AA98" s="804">
        <v>8</v>
      </c>
      <c r="AB98" s="805">
        <v>1600</v>
      </c>
      <c r="AC98" s="806">
        <v>12800</v>
      </c>
      <c r="AD98" s="804">
        <v>6</v>
      </c>
      <c r="AE98" s="805">
        <v>1600</v>
      </c>
      <c r="AF98" s="806">
        <v>9600</v>
      </c>
      <c r="AG98" s="804">
        <v>6</v>
      </c>
      <c r="AH98" s="805">
        <v>1600</v>
      </c>
      <c r="AI98" s="806">
        <v>9600</v>
      </c>
      <c r="AJ98" s="804">
        <v>6</v>
      </c>
      <c r="AK98" s="805">
        <v>1600</v>
      </c>
      <c r="AL98" s="806">
        <v>9600</v>
      </c>
      <c r="AM98" s="804">
        <v>4</v>
      </c>
      <c r="AN98" s="805">
        <v>1600</v>
      </c>
      <c r="AO98" s="806">
        <v>6400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75</v>
      </c>
      <c r="D99" s="805">
        <v>1500</v>
      </c>
      <c r="E99" s="806">
        <v>112500</v>
      </c>
      <c r="F99" s="804">
        <v>4</v>
      </c>
      <c r="G99" s="805">
        <v>1500</v>
      </c>
      <c r="H99" s="806">
        <v>6000</v>
      </c>
      <c r="I99" s="804">
        <v>5</v>
      </c>
      <c r="J99" s="805">
        <v>1500</v>
      </c>
      <c r="K99" s="806">
        <v>7500</v>
      </c>
      <c r="L99" s="804">
        <v>6</v>
      </c>
      <c r="M99" s="805">
        <v>1500</v>
      </c>
      <c r="N99" s="806">
        <v>9000</v>
      </c>
      <c r="O99" s="804">
        <v>9</v>
      </c>
      <c r="P99" s="805">
        <v>1500</v>
      </c>
      <c r="Q99" s="806">
        <v>13500</v>
      </c>
      <c r="R99" s="804">
        <v>8</v>
      </c>
      <c r="S99" s="805">
        <v>1500</v>
      </c>
      <c r="T99" s="806">
        <v>12000</v>
      </c>
      <c r="U99" s="804">
        <v>6</v>
      </c>
      <c r="V99" s="805">
        <v>1500</v>
      </c>
      <c r="W99" s="806">
        <v>9000</v>
      </c>
      <c r="X99" s="804">
        <v>7</v>
      </c>
      <c r="Y99" s="805">
        <v>1500</v>
      </c>
      <c r="Z99" s="806">
        <v>10500</v>
      </c>
      <c r="AA99" s="804">
        <v>8</v>
      </c>
      <c r="AB99" s="805">
        <v>1500</v>
      </c>
      <c r="AC99" s="806">
        <v>12000</v>
      </c>
      <c r="AD99" s="804">
        <v>6</v>
      </c>
      <c r="AE99" s="805">
        <v>1500</v>
      </c>
      <c r="AF99" s="806">
        <v>9000</v>
      </c>
      <c r="AG99" s="804">
        <v>6</v>
      </c>
      <c r="AH99" s="805">
        <v>1500</v>
      </c>
      <c r="AI99" s="806">
        <v>9000</v>
      </c>
      <c r="AJ99" s="804">
        <v>6</v>
      </c>
      <c r="AK99" s="805">
        <v>1500</v>
      </c>
      <c r="AL99" s="806">
        <v>9000</v>
      </c>
      <c r="AM99" s="804">
        <v>4</v>
      </c>
      <c r="AN99" s="805">
        <v>1500</v>
      </c>
      <c r="AO99" s="806">
        <v>6000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225</v>
      </c>
      <c r="D100" s="810">
        <v>1800</v>
      </c>
      <c r="E100" s="811">
        <v>405000</v>
      </c>
      <c r="F100" s="809">
        <v>12</v>
      </c>
      <c r="G100" s="810">
        <v>1800</v>
      </c>
      <c r="H100" s="811">
        <v>21600</v>
      </c>
      <c r="I100" s="809">
        <v>15</v>
      </c>
      <c r="J100" s="810">
        <v>1800</v>
      </c>
      <c r="K100" s="811">
        <v>27000</v>
      </c>
      <c r="L100" s="809">
        <v>18</v>
      </c>
      <c r="M100" s="810">
        <v>1800</v>
      </c>
      <c r="N100" s="811">
        <v>32400</v>
      </c>
      <c r="O100" s="809">
        <v>27</v>
      </c>
      <c r="P100" s="810">
        <v>1800</v>
      </c>
      <c r="Q100" s="811">
        <v>48600</v>
      </c>
      <c r="R100" s="809">
        <v>24</v>
      </c>
      <c r="S100" s="810">
        <v>1800</v>
      </c>
      <c r="T100" s="811">
        <v>43200</v>
      </c>
      <c r="U100" s="809">
        <v>18</v>
      </c>
      <c r="V100" s="810">
        <v>1800</v>
      </c>
      <c r="W100" s="811">
        <v>32400</v>
      </c>
      <c r="X100" s="809">
        <v>21</v>
      </c>
      <c r="Y100" s="810">
        <v>1800</v>
      </c>
      <c r="Z100" s="811">
        <v>37800</v>
      </c>
      <c r="AA100" s="809">
        <v>24</v>
      </c>
      <c r="AB100" s="810">
        <v>1800</v>
      </c>
      <c r="AC100" s="811">
        <v>43200</v>
      </c>
      <c r="AD100" s="809">
        <v>18</v>
      </c>
      <c r="AE100" s="810">
        <v>1800</v>
      </c>
      <c r="AF100" s="811">
        <v>32400</v>
      </c>
      <c r="AG100" s="809">
        <v>18</v>
      </c>
      <c r="AH100" s="810">
        <v>1800</v>
      </c>
      <c r="AI100" s="811">
        <v>32400</v>
      </c>
      <c r="AJ100" s="809">
        <v>18</v>
      </c>
      <c r="AK100" s="810">
        <v>1800</v>
      </c>
      <c r="AL100" s="811">
        <v>32400</v>
      </c>
      <c r="AM100" s="809">
        <v>12</v>
      </c>
      <c r="AN100" s="810">
        <v>1800</v>
      </c>
      <c r="AO100" s="811">
        <v>21600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350</v>
      </c>
      <c r="E103" s="806">
        <v>77000</v>
      </c>
      <c r="F103" s="804">
        <v>13</v>
      </c>
      <c r="G103" s="805">
        <v>350</v>
      </c>
      <c r="H103" s="806">
        <v>4550</v>
      </c>
      <c r="I103" s="804">
        <v>13</v>
      </c>
      <c r="J103" s="805">
        <v>350</v>
      </c>
      <c r="K103" s="806">
        <v>4550</v>
      </c>
      <c r="L103" s="804">
        <v>18</v>
      </c>
      <c r="M103" s="805">
        <v>350</v>
      </c>
      <c r="N103" s="806">
        <v>6300</v>
      </c>
      <c r="O103" s="804">
        <v>25</v>
      </c>
      <c r="P103" s="805">
        <v>350</v>
      </c>
      <c r="Q103" s="806">
        <v>8750</v>
      </c>
      <c r="R103" s="804">
        <v>23</v>
      </c>
      <c r="S103" s="805">
        <v>350</v>
      </c>
      <c r="T103" s="806">
        <v>8050</v>
      </c>
      <c r="U103" s="804">
        <v>19</v>
      </c>
      <c r="V103" s="805">
        <v>350</v>
      </c>
      <c r="W103" s="806">
        <v>6650</v>
      </c>
      <c r="X103" s="804">
        <v>21</v>
      </c>
      <c r="Y103" s="805">
        <v>350</v>
      </c>
      <c r="Z103" s="806">
        <v>7350</v>
      </c>
      <c r="AA103" s="804">
        <v>23</v>
      </c>
      <c r="AB103" s="805">
        <v>350</v>
      </c>
      <c r="AC103" s="806">
        <v>8050</v>
      </c>
      <c r="AD103" s="804">
        <v>19</v>
      </c>
      <c r="AE103" s="805">
        <v>350</v>
      </c>
      <c r="AF103" s="806">
        <v>6650</v>
      </c>
      <c r="AG103" s="804">
        <v>18</v>
      </c>
      <c r="AH103" s="805">
        <v>350</v>
      </c>
      <c r="AI103" s="806">
        <v>6300</v>
      </c>
      <c r="AJ103" s="804">
        <v>17</v>
      </c>
      <c r="AK103" s="805">
        <v>350</v>
      </c>
      <c r="AL103" s="806">
        <v>5950</v>
      </c>
      <c r="AM103" s="804">
        <v>11</v>
      </c>
      <c r="AN103" s="805">
        <v>350</v>
      </c>
      <c r="AO103" s="806">
        <v>3850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380</v>
      </c>
      <c r="E105" s="806">
        <v>85500</v>
      </c>
      <c r="F105" s="804"/>
      <c r="G105" s="805">
        <v>380</v>
      </c>
      <c r="H105" s="806">
        <v>4560</v>
      </c>
      <c r="I105" s="804"/>
      <c r="J105" s="805">
        <v>380</v>
      </c>
      <c r="K105" s="806">
        <v>5700</v>
      </c>
      <c r="L105" s="804"/>
      <c r="M105" s="805">
        <v>380</v>
      </c>
      <c r="N105" s="806">
        <v>6840</v>
      </c>
      <c r="O105" s="804"/>
      <c r="P105" s="805">
        <v>380</v>
      </c>
      <c r="Q105" s="806">
        <v>10260</v>
      </c>
      <c r="R105" s="804"/>
      <c r="S105" s="805">
        <v>380</v>
      </c>
      <c r="T105" s="806">
        <v>9120</v>
      </c>
      <c r="U105" s="804"/>
      <c r="V105" s="805">
        <v>380</v>
      </c>
      <c r="W105" s="806">
        <v>6840</v>
      </c>
      <c r="X105" s="804"/>
      <c r="Y105" s="805">
        <v>380</v>
      </c>
      <c r="Z105" s="806">
        <v>7980</v>
      </c>
      <c r="AA105" s="804"/>
      <c r="AB105" s="805">
        <v>380</v>
      </c>
      <c r="AC105" s="806">
        <v>9120</v>
      </c>
      <c r="AD105" s="804"/>
      <c r="AE105" s="805">
        <v>380</v>
      </c>
      <c r="AF105" s="806">
        <v>6840</v>
      </c>
      <c r="AG105" s="804"/>
      <c r="AH105" s="805">
        <v>380</v>
      </c>
      <c r="AI105" s="806">
        <v>6840</v>
      </c>
      <c r="AJ105" s="804"/>
      <c r="AK105" s="805">
        <v>380</v>
      </c>
      <c r="AL105" s="806">
        <v>6840</v>
      </c>
      <c r="AM105" s="804"/>
      <c r="AN105" s="805">
        <v>380</v>
      </c>
      <c r="AO105" s="806">
        <v>4560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850</v>
      </c>
      <c r="E106" s="806">
        <v>191250</v>
      </c>
      <c r="F106" s="804"/>
      <c r="G106" s="805">
        <v>850</v>
      </c>
      <c r="H106" s="806">
        <v>10200</v>
      </c>
      <c r="I106" s="804"/>
      <c r="J106" s="805">
        <v>850</v>
      </c>
      <c r="K106" s="806">
        <v>12750</v>
      </c>
      <c r="L106" s="804"/>
      <c r="M106" s="805">
        <v>850</v>
      </c>
      <c r="N106" s="806">
        <v>15300</v>
      </c>
      <c r="O106" s="804"/>
      <c r="P106" s="805">
        <v>850</v>
      </c>
      <c r="Q106" s="806">
        <v>22950</v>
      </c>
      <c r="R106" s="804"/>
      <c r="S106" s="805">
        <v>850</v>
      </c>
      <c r="T106" s="806">
        <v>20400</v>
      </c>
      <c r="U106" s="804"/>
      <c r="V106" s="805">
        <v>850</v>
      </c>
      <c r="W106" s="806">
        <v>15300</v>
      </c>
      <c r="X106" s="804"/>
      <c r="Y106" s="805">
        <v>850</v>
      </c>
      <c r="Z106" s="806">
        <v>17850</v>
      </c>
      <c r="AA106" s="804"/>
      <c r="AB106" s="805">
        <v>850</v>
      </c>
      <c r="AC106" s="806">
        <v>20400</v>
      </c>
      <c r="AD106" s="804"/>
      <c r="AE106" s="805">
        <v>850</v>
      </c>
      <c r="AF106" s="806">
        <v>15300</v>
      </c>
      <c r="AG106" s="804"/>
      <c r="AH106" s="805">
        <v>850</v>
      </c>
      <c r="AI106" s="806">
        <v>15300</v>
      </c>
      <c r="AJ106" s="804"/>
      <c r="AK106" s="805">
        <v>850</v>
      </c>
      <c r="AL106" s="806">
        <v>15300</v>
      </c>
      <c r="AM106" s="804"/>
      <c r="AN106" s="805">
        <v>850</v>
      </c>
      <c r="AO106" s="806">
        <v>10200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220</v>
      </c>
      <c r="E107" s="806">
        <v>49500</v>
      </c>
      <c r="F107" s="804"/>
      <c r="G107" s="868">
        <v>220</v>
      </c>
      <c r="H107" s="806">
        <v>2640</v>
      </c>
      <c r="I107" s="804"/>
      <c r="J107" s="868">
        <v>220</v>
      </c>
      <c r="K107" s="806">
        <v>3300</v>
      </c>
      <c r="L107" s="804"/>
      <c r="M107" s="868">
        <v>220</v>
      </c>
      <c r="N107" s="806">
        <v>3960</v>
      </c>
      <c r="O107" s="804"/>
      <c r="P107" s="868">
        <v>220</v>
      </c>
      <c r="Q107" s="806">
        <v>5940</v>
      </c>
      <c r="R107" s="804"/>
      <c r="S107" s="868">
        <v>220</v>
      </c>
      <c r="T107" s="806">
        <v>5280</v>
      </c>
      <c r="U107" s="804"/>
      <c r="V107" s="868">
        <v>220</v>
      </c>
      <c r="W107" s="806">
        <v>3960</v>
      </c>
      <c r="X107" s="804"/>
      <c r="Y107" s="868">
        <v>220</v>
      </c>
      <c r="Z107" s="806">
        <v>4620</v>
      </c>
      <c r="AA107" s="804"/>
      <c r="AB107" s="868">
        <v>220</v>
      </c>
      <c r="AC107" s="806">
        <v>5280</v>
      </c>
      <c r="AD107" s="804"/>
      <c r="AE107" s="868">
        <v>220</v>
      </c>
      <c r="AF107" s="806">
        <v>3960</v>
      </c>
      <c r="AG107" s="804"/>
      <c r="AH107" s="868">
        <v>220</v>
      </c>
      <c r="AI107" s="806">
        <v>3960</v>
      </c>
      <c r="AJ107" s="804"/>
      <c r="AK107" s="868">
        <v>220</v>
      </c>
      <c r="AL107" s="806">
        <v>3960</v>
      </c>
      <c r="AM107" s="804"/>
      <c r="AN107" s="868">
        <v>220</v>
      </c>
      <c r="AO107" s="806">
        <v>2640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225</v>
      </c>
      <c r="D108" s="810">
        <v>1450</v>
      </c>
      <c r="E108" s="811">
        <v>326250</v>
      </c>
      <c r="F108" s="809">
        <v>12</v>
      </c>
      <c r="G108" s="810">
        <v>1450</v>
      </c>
      <c r="H108" s="811">
        <v>17400</v>
      </c>
      <c r="I108" s="809">
        <v>15</v>
      </c>
      <c r="J108" s="810">
        <v>1450</v>
      </c>
      <c r="K108" s="811">
        <v>21750</v>
      </c>
      <c r="L108" s="809">
        <v>18</v>
      </c>
      <c r="M108" s="810">
        <v>1450</v>
      </c>
      <c r="N108" s="811">
        <v>26100</v>
      </c>
      <c r="O108" s="809">
        <v>27</v>
      </c>
      <c r="P108" s="810">
        <v>1450</v>
      </c>
      <c r="Q108" s="811">
        <v>39150</v>
      </c>
      <c r="R108" s="809">
        <v>24</v>
      </c>
      <c r="S108" s="810">
        <v>1450</v>
      </c>
      <c r="T108" s="811">
        <v>34800</v>
      </c>
      <c r="U108" s="809">
        <v>18</v>
      </c>
      <c r="V108" s="810">
        <v>1450</v>
      </c>
      <c r="W108" s="811">
        <v>26100</v>
      </c>
      <c r="X108" s="809">
        <v>21</v>
      </c>
      <c r="Y108" s="810">
        <v>1450</v>
      </c>
      <c r="Z108" s="811">
        <v>30450</v>
      </c>
      <c r="AA108" s="809">
        <v>24</v>
      </c>
      <c r="AB108" s="810">
        <v>1450</v>
      </c>
      <c r="AC108" s="811">
        <v>34800</v>
      </c>
      <c r="AD108" s="809">
        <v>18</v>
      </c>
      <c r="AE108" s="810">
        <v>1450</v>
      </c>
      <c r="AF108" s="811">
        <v>26100</v>
      </c>
      <c r="AG108" s="809">
        <v>18</v>
      </c>
      <c r="AH108" s="810">
        <v>1450</v>
      </c>
      <c r="AI108" s="811">
        <v>26100</v>
      </c>
      <c r="AJ108" s="809">
        <v>18</v>
      </c>
      <c r="AK108" s="810">
        <v>1450</v>
      </c>
      <c r="AL108" s="811">
        <v>26100</v>
      </c>
      <c r="AM108" s="809">
        <v>12</v>
      </c>
      <c r="AN108" s="810">
        <v>1450</v>
      </c>
      <c r="AO108" s="811">
        <v>17400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445</v>
      </c>
      <c r="D111" s="823">
        <v>1816.2921348314608</v>
      </c>
      <c r="E111" s="824">
        <v>808250</v>
      </c>
      <c r="F111" s="822">
        <v>25</v>
      </c>
      <c r="G111" s="823">
        <v>1742</v>
      </c>
      <c r="H111" s="824">
        <v>43550</v>
      </c>
      <c r="I111" s="822">
        <v>28</v>
      </c>
      <c r="J111" s="823">
        <v>1903.5714285714287</v>
      </c>
      <c r="K111" s="824">
        <v>53300</v>
      </c>
      <c r="L111" s="822">
        <v>36</v>
      </c>
      <c r="M111" s="823">
        <v>1800</v>
      </c>
      <c r="N111" s="824">
        <v>64800</v>
      </c>
      <c r="O111" s="822">
        <v>52</v>
      </c>
      <c r="P111" s="823">
        <v>1855.7692307692307</v>
      </c>
      <c r="Q111" s="824">
        <v>96500</v>
      </c>
      <c r="R111" s="822">
        <v>47</v>
      </c>
      <c r="S111" s="823">
        <v>1830.8510638297873</v>
      </c>
      <c r="T111" s="824">
        <v>86050</v>
      </c>
      <c r="U111" s="822">
        <v>37</v>
      </c>
      <c r="V111" s="823">
        <v>1760.8108108108108</v>
      </c>
      <c r="W111" s="824">
        <v>65150</v>
      </c>
      <c r="X111" s="822">
        <v>42</v>
      </c>
      <c r="Y111" s="823">
        <v>1800</v>
      </c>
      <c r="Z111" s="824">
        <v>75600</v>
      </c>
      <c r="AA111" s="822">
        <v>47</v>
      </c>
      <c r="AB111" s="823">
        <v>1830.8510638297873</v>
      </c>
      <c r="AC111" s="824">
        <v>86050</v>
      </c>
      <c r="AD111" s="822">
        <v>37</v>
      </c>
      <c r="AE111" s="823">
        <v>1760.8108108108108</v>
      </c>
      <c r="AF111" s="824">
        <v>65150</v>
      </c>
      <c r="AG111" s="822">
        <v>36</v>
      </c>
      <c r="AH111" s="823">
        <v>1800</v>
      </c>
      <c r="AI111" s="824">
        <v>64800</v>
      </c>
      <c r="AJ111" s="822">
        <v>35</v>
      </c>
      <c r="AK111" s="823">
        <v>1841.4285714285713</v>
      </c>
      <c r="AL111" s="824">
        <v>64450</v>
      </c>
      <c r="AM111" s="822">
        <v>23</v>
      </c>
      <c r="AN111" s="823">
        <v>1863.0434782608695</v>
      </c>
      <c r="AO111" s="824">
        <v>42850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0.34493827160493828</v>
      </c>
      <c r="D115" s="833">
        <v>931.33333333333337</v>
      </c>
      <c r="E115" s="834">
        <v>139700</v>
      </c>
      <c r="F115" s="873">
        <v>0.37425145451965375</v>
      </c>
      <c r="G115" s="833">
        <v>1010.4789272030652</v>
      </c>
      <c r="H115" s="834">
        <v>8083.8314176245212</v>
      </c>
      <c r="I115" s="873">
        <v>0.35165318575280258</v>
      </c>
      <c r="J115" s="833">
        <v>949.46360153256705</v>
      </c>
      <c r="K115" s="834">
        <v>9494.6360153256701</v>
      </c>
      <c r="L115" s="873">
        <v>0.34519653753370227</v>
      </c>
      <c r="M115" s="833">
        <v>932.03065134099609</v>
      </c>
      <c r="N115" s="834">
        <v>11184.367816091954</v>
      </c>
      <c r="O115" s="873">
        <v>0.33156583573782378</v>
      </c>
      <c r="P115" s="833">
        <v>895.22775649212429</v>
      </c>
      <c r="Q115" s="834">
        <v>16114.099616858237</v>
      </c>
      <c r="R115" s="873">
        <v>0.33551156520505176</v>
      </c>
      <c r="S115" s="833">
        <v>905.88122605363981</v>
      </c>
      <c r="T115" s="834">
        <v>14494.099616858237</v>
      </c>
      <c r="U115" s="873">
        <v>0.34519653753370227</v>
      </c>
      <c r="V115" s="833">
        <v>932.03065134099609</v>
      </c>
      <c r="W115" s="834">
        <v>11184.367816091954</v>
      </c>
      <c r="X115" s="873">
        <v>0.3424294025826593</v>
      </c>
      <c r="Y115" s="833">
        <v>924.55938697318015</v>
      </c>
      <c r="Z115" s="834">
        <v>12943.831417624522</v>
      </c>
      <c r="AA115" s="873">
        <v>0.33389740315027672</v>
      </c>
      <c r="AB115" s="833">
        <v>901.52298850574709</v>
      </c>
      <c r="AC115" s="834">
        <v>14424.367816091954</v>
      </c>
      <c r="AD115" s="873">
        <v>0.34734875360673573</v>
      </c>
      <c r="AE115" s="833">
        <v>937.84163473818637</v>
      </c>
      <c r="AF115" s="834">
        <v>11254.099616858237</v>
      </c>
      <c r="AG115" s="873">
        <v>0.34950096967976918</v>
      </c>
      <c r="AH115" s="833">
        <v>943.65261813537688</v>
      </c>
      <c r="AI115" s="834">
        <v>11323.831417624522</v>
      </c>
      <c r="AJ115" s="873">
        <v>0.34304432146066882</v>
      </c>
      <c r="AK115" s="833">
        <v>926.2196679438058</v>
      </c>
      <c r="AL115" s="834">
        <v>11114.63601532567</v>
      </c>
      <c r="AM115" s="873">
        <v>0.37425145451965375</v>
      </c>
      <c r="AN115" s="833">
        <v>1010.4789272030652</v>
      </c>
      <c r="AO115" s="834">
        <v>8083.8314176245212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0.27500000000000002</v>
      </c>
      <c r="D116" s="836">
        <v>598.125</v>
      </c>
      <c r="E116" s="837">
        <v>89718.75</v>
      </c>
      <c r="F116" s="835">
        <v>0.27500000000000002</v>
      </c>
      <c r="G116" s="836">
        <v>598.125</v>
      </c>
      <c r="H116" s="837">
        <v>4785</v>
      </c>
      <c r="I116" s="835">
        <v>0.27500000000000002</v>
      </c>
      <c r="J116" s="836">
        <v>598.125</v>
      </c>
      <c r="K116" s="837">
        <v>5981.25</v>
      </c>
      <c r="L116" s="835">
        <v>0.27500000000000002</v>
      </c>
      <c r="M116" s="836">
        <v>598.125</v>
      </c>
      <c r="N116" s="837">
        <v>7177.5</v>
      </c>
      <c r="O116" s="835">
        <v>0.27500000000000002</v>
      </c>
      <c r="P116" s="836">
        <v>598.125</v>
      </c>
      <c r="Q116" s="837">
        <v>10766.25</v>
      </c>
      <c r="R116" s="835">
        <v>0.27500000000000002</v>
      </c>
      <c r="S116" s="836">
        <v>598.125</v>
      </c>
      <c r="T116" s="837">
        <v>9570</v>
      </c>
      <c r="U116" s="835">
        <v>0.27500000000000002</v>
      </c>
      <c r="V116" s="836">
        <v>598.125</v>
      </c>
      <c r="W116" s="837">
        <v>7177.5</v>
      </c>
      <c r="X116" s="835">
        <v>0.27500000000000002</v>
      </c>
      <c r="Y116" s="836">
        <v>598.125</v>
      </c>
      <c r="Z116" s="837">
        <v>8373.75</v>
      </c>
      <c r="AA116" s="835">
        <v>0.27500000000000002</v>
      </c>
      <c r="AB116" s="836">
        <v>598.125</v>
      </c>
      <c r="AC116" s="837">
        <v>9570</v>
      </c>
      <c r="AD116" s="835">
        <v>0.27500000000000002</v>
      </c>
      <c r="AE116" s="836">
        <v>598.125</v>
      </c>
      <c r="AF116" s="837">
        <v>7177.5</v>
      </c>
      <c r="AG116" s="835">
        <v>0.27500000000000002</v>
      </c>
      <c r="AH116" s="836">
        <v>598.125</v>
      </c>
      <c r="AI116" s="837">
        <v>7177.5</v>
      </c>
      <c r="AJ116" s="835">
        <v>0.27500000000000002</v>
      </c>
      <c r="AK116" s="836">
        <v>598.125</v>
      </c>
      <c r="AL116" s="837">
        <v>7177.5</v>
      </c>
      <c r="AM116" s="835">
        <v>0.27500000000000002</v>
      </c>
      <c r="AN116" s="836">
        <v>598.125</v>
      </c>
      <c r="AO116" s="837">
        <v>4785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135</v>
      </c>
      <c r="E117" s="834">
        <v>20250</v>
      </c>
      <c r="F117" s="812"/>
      <c r="G117" s="833">
        <v>135</v>
      </c>
      <c r="H117" s="834">
        <v>1080</v>
      </c>
      <c r="I117" s="812"/>
      <c r="J117" s="833">
        <v>135</v>
      </c>
      <c r="K117" s="834">
        <v>1350</v>
      </c>
      <c r="L117" s="812"/>
      <c r="M117" s="833">
        <v>135</v>
      </c>
      <c r="N117" s="834">
        <v>1620</v>
      </c>
      <c r="O117" s="812"/>
      <c r="P117" s="833">
        <v>135</v>
      </c>
      <c r="Q117" s="834">
        <v>2430</v>
      </c>
      <c r="R117" s="812"/>
      <c r="S117" s="833">
        <v>135</v>
      </c>
      <c r="T117" s="834">
        <v>2160</v>
      </c>
      <c r="U117" s="812"/>
      <c r="V117" s="833">
        <v>135</v>
      </c>
      <c r="W117" s="834">
        <v>1620</v>
      </c>
      <c r="X117" s="812"/>
      <c r="Y117" s="833">
        <v>135</v>
      </c>
      <c r="Z117" s="834">
        <v>1890</v>
      </c>
      <c r="AA117" s="812"/>
      <c r="AB117" s="833">
        <v>135</v>
      </c>
      <c r="AC117" s="834">
        <v>2160</v>
      </c>
      <c r="AD117" s="812"/>
      <c r="AE117" s="833">
        <v>135</v>
      </c>
      <c r="AF117" s="834">
        <v>1620</v>
      </c>
      <c r="AG117" s="812"/>
      <c r="AH117" s="833">
        <v>135</v>
      </c>
      <c r="AI117" s="834">
        <v>1620</v>
      </c>
      <c r="AJ117" s="812"/>
      <c r="AK117" s="833">
        <v>135</v>
      </c>
      <c r="AL117" s="834">
        <v>1620</v>
      </c>
      <c r="AM117" s="812"/>
      <c r="AN117" s="833">
        <v>135</v>
      </c>
      <c r="AO117" s="834">
        <v>1080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141</v>
      </c>
      <c r="E118" s="834">
        <v>21150</v>
      </c>
      <c r="F118" s="812"/>
      <c r="G118" s="833">
        <v>141</v>
      </c>
      <c r="H118" s="834">
        <v>1128</v>
      </c>
      <c r="I118" s="812"/>
      <c r="J118" s="833">
        <v>141</v>
      </c>
      <c r="K118" s="834">
        <v>1410</v>
      </c>
      <c r="L118" s="812"/>
      <c r="M118" s="833">
        <v>141</v>
      </c>
      <c r="N118" s="834">
        <v>1692</v>
      </c>
      <c r="O118" s="812"/>
      <c r="P118" s="833">
        <v>141</v>
      </c>
      <c r="Q118" s="834">
        <v>2538</v>
      </c>
      <c r="R118" s="812"/>
      <c r="S118" s="833">
        <v>141</v>
      </c>
      <c r="T118" s="834">
        <v>2256</v>
      </c>
      <c r="U118" s="812"/>
      <c r="V118" s="833">
        <v>141</v>
      </c>
      <c r="W118" s="834">
        <v>1692</v>
      </c>
      <c r="X118" s="812"/>
      <c r="Y118" s="833">
        <v>141</v>
      </c>
      <c r="Z118" s="834">
        <v>1974</v>
      </c>
      <c r="AA118" s="812"/>
      <c r="AB118" s="833">
        <v>141</v>
      </c>
      <c r="AC118" s="834">
        <v>2256</v>
      </c>
      <c r="AD118" s="812"/>
      <c r="AE118" s="833">
        <v>141</v>
      </c>
      <c r="AF118" s="834">
        <v>1692</v>
      </c>
      <c r="AG118" s="812"/>
      <c r="AH118" s="833">
        <v>141</v>
      </c>
      <c r="AI118" s="834">
        <v>1692</v>
      </c>
      <c r="AJ118" s="812"/>
      <c r="AK118" s="833">
        <v>141</v>
      </c>
      <c r="AL118" s="834">
        <v>1692</v>
      </c>
      <c r="AM118" s="812"/>
      <c r="AN118" s="833">
        <v>141</v>
      </c>
      <c r="AO118" s="834">
        <v>1128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151</v>
      </c>
      <c r="E119" s="837">
        <v>22650</v>
      </c>
      <c r="F119" s="838"/>
      <c r="G119" s="836">
        <v>227.5</v>
      </c>
      <c r="H119" s="837">
        <v>1820</v>
      </c>
      <c r="I119" s="838"/>
      <c r="J119" s="836">
        <v>185</v>
      </c>
      <c r="K119" s="837">
        <v>1850</v>
      </c>
      <c r="L119" s="838"/>
      <c r="M119" s="836">
        <v>156.66666666666666</v>
      </c>
      <c r="N119" s="837">
        <v>1880</v>
      </c>
      <c r="O119" s="838"/>
      <c r="P119" s="836">
        <v>109.44444444444444</v>
      </c>
      <c r="Q119" s="837">
        <v>1970</v>
      </c>
      <c r="R119" s="838"/>
      <c r="S119" s="836">
        <v>121.25</v>
      </c>
      <c r="T119" s="837">
        <v>1940</v>
      </c>
      <c r="U119" s="838"/>
      <c r="V119" s="836">
        <v>156.66666666666666</v>
      </c>
      <c r="W119" s="837">
        <v>1880</v>
      </c>
      <c r="X119" s="838"/>
      <c r="Y119" s="836">
        <v>136.42857142857142</v>
      </c>
      <c r="Z119" s="837">
        <v>1910</v>
      </c>
      <c r="AA119" s="838"/>
      <c r="AB119" s="836">
        <v>121.25</v>
      </c>
      <c r="AC119" s="837">
        <v>1940</v>
      </c>
      <c r="AD119" s="838"/>
      <c r="AE119" s="836">
        <v>156.66666666666666</v>
      </c>
      <c r="AF119" s="837">
        <v>1880</v>
      </c>
      <c r="AG119" s="838"/>
      <c r="AH119" s="836">
        <v>156.66666666666666</v>
      </c>
      <c r="AI119" s="837">
        <v>1880</v>
      </c>
      <c r="AJ119" s="838"/>
      <c r="AK119" s="836">
        <v>156.66666666666666</v>
      </c>
      <c r="AL119" s="837">
        <v>1880</v>
      </c>
      <c r="AM119" s="838"/>
      <c r="AN119" s="836">
        <v>227.5</v>
      </c>
      <c r="AO119" s="837">
        <v>1820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540</v>
      </c>
      <c r="E120" s="834">
        <v>81000</v>
      </c>
      <c r="F120" s="812"/>
      <c r="G120" s="833">
        <v>928.125</v>
      </c>
      <c r="H120" s="834">
        <v>7425</v>
      </c>
      <c r="I120" s="812"/>
      <c r="J120" s="833">
        <v>712.5</v>
      </c>
      <c r="K120" s="834">
        <v>7125</v>
      </c>
      <c r="L120" s="812"/>
      <c r="M120" s="833">
        <v>568.75</v>
      </c>
      <c r="N120" s="834">
        <v>6825</v>
      </c>
      <c r="O120" s="812"/>
      <c r="P120" s="833">
        <v>329.16666666666669</v>
      </c>
      <c r="Q120" s="834">
        <v>5925</v>
      </c>
      <c r="R120" s="812"/>
      <c r="S120" s="833">
        <v>389.0625</v>
      </c>
      <c r="T120" s="834">
        <v>6225</v>
      </c>
      <c r="U120" s="812"/>
      <c r="V120" s="833">
        <v>568.75</v>
      </c>
      <c r="W120" s="834">
        <v>6825</v>
      </c>
      <c r="X120" s="812"/>
      <c r="Y120" s="833">
        <v>466.07142857142856</v>
      </c>
      <c r="Z120" s="834">
        <v>6525</v>
      </c>
      <c r="AA120" s="812"/>
      <c r="AB120" s="833">
        <v>389.0625</v>
      </c>
      <c r="AC120" s="834">
        <v>6225</v>
      </c>
      <c r="AD120" s="812"/>
      <c r="AE120" s="833">
        <v>568.75</v>
      </c>
      <c r="AF120" s="834">
        <v>6825</v>
      </c>
      <c r="AG120" s="812"/>
      <c r="AH120" s="833">
        <v>568.75</v>
      </c>
      <c r="AI120" s="834">
        <v>6825</v>
      </c>
      <c r="AJ120" s="812"/>
      <c r="AK120" s="833">
        <v>568.75</v>
      </c>
      <c r="AL120" s="834">
        <v>6825</v>
      </c>
      <c r="AM120" s="812"/>
      <c r="AN120" s="833">
        <v>928.125</v>
      </c>
      <c r="AO120" s="834">
        <v>7425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382.51941165755926</v>
      </c>
      <c r="E121" s="834">
        <v>57377.911748633887</v>
      </c>
      <c r="F121" s="812"/>
      <c r="G121" s="833">
        <v>527.19653449453551</v>
      </c>
      <c r="H121" s="834">
        <v>4217.5722759562841</v>
      </c>
      <c r="I121" s="812"/>
      <c r="J121" s="833">
        <v>428.85552595628417</v>
      </c>
      <c r="K121" s="834">
        <v>4288.5552595628415</v>
      </c>
      <c r="L121" s="812"/>
      <c r="M121" s="833">
        <v>443.15071015482698</v>
      </c>
      <c r="N121" s="834">
        <v>5317.8085218579236</v>
      </c>
      <c r="O121" s="812"/>
      <c r="P121" s="833">
        <v>305.62117941712205</v>
      </c>
      <c r="Q121" s="834">
        <v>5501.1812295081972</v>
      </c>
      <c r="R121" s="812"/>
      <c r="S121" s="833">
        <v>320.90223838797812</v>
      </c>
      <c r="T121" s="834">
        <v>5134.4358142076499</v>
      </c>
      <c r="U121" s="812"/>
      <c r="V121" s="833">
        <v>399.27928278688523</v>
      </c>
      <c r="W121" s="834">
        <v>4791.3513934426228</v>
      </c>
      <c r="X121" s="812"/>
      <c r="Y121" s="833">
        <v>379.84346584699455</v>
      </c>
      <c r="Z121" s="834">
        <v>5317.8085218579236</v>
      </c>
      <c r="AA121" s="812"/>
      <c r="AB121" s="833">
        <v>320.90223838797812</v>
      </c>
      <c r="AC121" s="834">
        <v>5134.4358142076499</v>
      </c>
      <c r="AD121" s="812"/>
      <c r="AE121" s="833">
        <v>384.49116120218582</v>
      </c>
      <c r="AF121" s="834">
        <v>4613.8939344262299</v>
      </c>
      <c r="AG121" s="812"/>
      <c r="AH121" s="833">
        <v>397.30753324225867</v>
      </c>
      <c r="AI121" s="834">
        <v>4767.6903989071043</v>
      </c>
      <c r="AJ121" s="812"/>
      <c r="AK121" s="833">
        <v>354.91491803278683</v>
      </c>
      <c r="AL121" s="834">
        <v>4258.9790163934422</v>
      </c>
      <c r="AM121" s="812"/>
      <c r="AN121" s="833">
        <v>504.27494603825141</v>
      </c>
      <c r="AO121" s="834">
        <v>4034.1995683060113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0.5342983751916287</v>
      </c>
      <c r="E125" s="841">
        <v>431846.66174863389</v>
      </c>
      <c r="F125" s="839" t="s">
        <v>108</v>
      </c>
      <c r="G125" s="840">
        <v>0.65532499870449612</v>
      </c>
      <c r="H125" s="841">
        <v>28539.403693580807</v>
      </c>
      <c r="I125" s="839" t="s">
        <v>108</v>
      </c>
      <c r="J125" s="840">
        <v>0.59098388883468123</v>
      </c>
      <c r="K125" s="841">
        <v>31499.441274888508</v>
      </c>
      <c r="L125" s="839" t="s">
        <v>108</v>
      </c>
      <c r="M125" s="840">
        <v>0.55087463484490551</v>
      </c>
      <c r="N125" s="841">
        <v>35696.676337949873</v>
      </c>
      <c r="O125" s="839" t="s">
        <v>108</v>
      </c>
      <c r="P125" s="840">
        <v>0.46885524193125838</v>
      </c>
      <c r="Q125" s="841">
        <v>45244.530846366433</v>
      </c>
      <c r="R125" s="839" t="s">
        <v>108</v>
      </c>
      <c r="S125" s="840">
        <v>0.48552626880959776</v>
      </c>
      <c r="T125" s="841">
        <v>41779.535431065888</v>
      </c>
      <c r="U125" s="839" t="s">
        <v>108</v>
      </c>
      <c r="V125" s="840">
        <v>0.53983452355386918</v>
      </c>
      <c r="W125" s="841">
        <v>35170.219209534574</v>
      </c>
      <c r="X125" s="839" t="s">
        <v>108</v>
      </c>
      <c r="Y125" s="840">
        <v>0.51500515792966195</v>
      </c>
      <c r="Z125" s="841">
        <v>38934.38993948244</v>
      </c>
      <c r="AA125" s="839" t="s">
        <v>108</v>
      </c>
      <c r="AB125" s="840">
        <v>0.48471590505868223</v>
      </c>
      <c r="AC125" s="841">
        <v>41709.803630299604</v>
      </c>
      <c r="AD125" s="839" t="s">
        <v>108</v>
      </c>
      <c r="AE125" s="840">
        <v>0.53818102150858738</v>
      </c>
      <c r="AF125" s="841">
        <v>35062.493551284468</v>
      </c>
      <c r="AG125" s="839" t="s">
        <v>108</v>
      </c>
      <c r="AH125" s="840">
        <v>0.5445373737119078</v>
      </c>
      <c r="AI125" s="841">
        <v>35286.021816531626</v>
      </c>
      <c r="AJ125" s="839" t="s">
        <v>108</v>
      </c>
      <c r="AK125" s="840">
        <v>0.5363555474277597</v>
      </c>
      <c r="AL125" s="841">
        <v>34568.115031719113</v>
      </c>
      <c r="AM125" s="839" t="s">
        <v>108</v>
      </c>
      <c r="AN125" s="840">
        <v>0.66175101484085264</v>
      </c>
      <c r="AO125" s="841">
        <v>28356.030985930534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60148.923076923085</v>
      </c>
      <c r="F126" s="812"/>
      <c r="G126" s="820"/>
      <c r="H126" s="834">
        <v>5140.4031830238728</v>
      </c>
      <c r="I126" s="812"/>
      <c r="J126" s="820"/>
      <c r="K126" s="834">
        <v>4833.2201591511939</v>
      </c>
      <c r="L126" s="812"/>
      <c r="M126" s="820"/>
      <c r="N126" s="834">
        <v>4935.6145004420869</v>
      </c>
      <c r="O126" s="812"/>
      <c r="P126" s="820"/>
      <c r="Q126" s="834">
        <v>5038.0088417329798</v>
      </c>
      <c r="R126" s="812"/>
      <c r="S126" s="820"/>
      <c r="T126" s="834">
        <v>5038.0088417329798</v>
      </c>
      <c r="U126" s="812"/>
      <c r="V126" s="820"/>
      <c r="W126" s="834">
        <v>4935.6145004420869</v>
      </c>
      <c r="X126" s="812"/>
      <c r="Y126" s="820"/>
      <c r="Z126" s="834">
        <v>5140.4031830238728</v>
      </c>
      <c r="AA126" s="812"/>
      <c r="AB126" s="820"/>
      <c r="AC126" s="834">
        <v>4935.6145004420869</v>
      </c>
      <c r="AD126" s="812"/>
      <c r="AE126" s="820"/>
      <c r="AF126" s="834">
        <v>5038.0088417329798</v>
      </c>
      <c r="AG126" s="812"/>
      <c r="AH126" s="820"/>
      <c r="AI126" s="834">
        <v>5140.4031830238728</v>
      </c>
      <c r="AJ126" s="812"/>
      <c r="AK126" s="820"/>
      <c r="AL126" s="834">
        <v>4833.2201591511939</v>
      </c>
      <c r="AM126" s="812"/>
      <c r="AN126" s="820"/>
      <c r="AO126" s="834">
        <v>5140.4031830238728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34121.149999999994</v>
      </c>
      <c r="F127" s="812"/>
      <c r="G127" s="820"/>
      <c r="H127" s="834">
        <v>3407.1664750957852</v>
      </c>
      <c r="I127" s="812"/>
      <c r="J127" s="820"/>
      <c r="K127" s="834">
        <v>2780.1969348659004</v>
      </c>
      <c r="L127" s="812"/>
      <c r="M127" s="820"/>
      <c r="N127" s="834">
        <v>2769.1867816091954</v>
      </c>
      <c r="O127" s="812"/>
      <c r="P127" s="820"/>
      <c r="Q127" s="834">
        <v>2428.1766283524903</v>
      </c>
      <c r="R127" s="812"/>
      <c r="S127" s="820"/>
      <c r="T127" s="834">
        <v>2593.1766283524903</v>
      </c>
      <c r="U127" s="812"/>
      <c r="V127" s="820"/>
      <c r="W127" s="834">
        <v>2769.1867816091954</v>
      </c>
      <c r="X127" s="812"/>
      <c r="Y127" s="820"/>
      <c r="Z127" s="834">
        <v>2912.1664750957852</v>
      </c>
      <c r="AA127" s="812"/>
      <c r="AB127" s="820"/>
      <c r="AC127" s="834">
        <v>2439.1867816091954</v>
      </c>
      <c r="AD127" s="812"/>
      <c r="AE127" s="820"/>
      <c r="AF127" s="834">
        <v>2923.1766283524903</v>
      </c>
      <c r="AG127" s="812"/>
      <c r="AH127" s="820"/>
      <c r="AI127" s="834">
        <v>3077.1664750957852</v>
      </c>
      <c r="AJ127" s="812"/>
      <c r="AK127" s="820"/>
      <c r="AL127" s="834">
        <v>2615.1969348659004</v>
      </c>
      <c r="AM127" s="812"/>
      <c r="AN127" s="820"/>
      <c r="AO127" s="834">
        <v>3407.1664750957852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43123.97919276006</v>
      </c>
      <c r="F133" s="812"/>
      <c r="G133" s="820"/>
      <c r="H133" s="834">
        <v>3623.5097047813611</v>
      </c>
      <c r="I133" s="812"/>
      <c r="J133" s="820"/>
      <c r="K133" s="834">
        <v>2505.7472357559682</v>
      </c>
      <c r="L133" s="812"/>
      <c r="M133" s="820"/>
      <c r="N133" s="834">
        <v>2783.7910755437661</v>
      </c>
      <c r="O133" s="812"/>
      <c r="P133" s="820"/>
      <c r="Q133" s="834">
        <v>4495.0217890410113</v>
      </c>
      <c r="R133" s="812"/>
      <c r="S133" s="820"/>
      <c r="T133" s="834">
        <v>4186.1466512953612</v>
      </c>
      <c r="U133" s="812"/>
      <c r="V133" s="820"/>
      <c r="W133" s="834">
        <v>3525.1782461664598</v>
      </c>
      <c r="X133" s="812"/>
      <c r="Y133" s="820"/>
      <c r="Z133" s="834">
        <v>3920.4896431873121</v>
      </c>
      <c r="AA133" s="812"/>
      <c r="AB133" s="820"/>
      <c r="AC133" s="834">
        <v>3271.621075543766</v>
      </c>
      <c r="AD133" s="812"/>
      <c r="AE133" s="820"/>
      <c r="AF133" s="834">
        <v>3568.3963758040609</v>
      </c>
      <c r="AG133" s="812"/>
      <c r="AH133" s="820"/>
      <c r="AI133" s="834">
        <v>3611.614505441662</v>
      </c>
      <c r="AJ133" s="812"/>
      <c r="AK133" s="820"/>
      <c r="AL133" s="834">
        <v>2749.6622357559681</v>
      </c>
      <c r="AM133" s="812"/>
      <c r="AN133" s="820"/>
      <c r="AO133" s="834">
        <v>4882.8006544433583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50205.375834867518</v>
      </c>
      <c r="F134" s="842"/>
      <c r="G134" s="843"/>
      <c r="H134" s="844">
        <v>4471.4572107692311</v>
      </c>
      <c r="I134" s="842"/>
      <c r="J134" s="843"/>
      <c r="K134" s="844">
        <v>4344.2030880769225</v>
      </c>
      <c r="L134" s="842"/>
      <c r="M134" s="843"/>
      <c r="N134" s="844">
        <v>4205.945211962865</v>
      </c>
      <c r="O134" s="842"/>
      <c r="P134" s="843"/>
      <c r="Q134" s="844">
        <v>5247.3307444031834</v>
      </c>
      <c r="R134" s="842"/>
      <c r="S134" s="843"/>
      <c r="T134" s="844">
        <v>4797.5506812600852</v>
      </c>
      <c r="U134" s="842"/>
      <c r="V134" s="843"/>
      <c r="W134" s="844">
        <v>4054.6522187267901</v>
      </c>
      <c r="X134" s="842"/>
      <c r="Y134" s="843"/>
      <c r="Z134" s="844">
        <v>4509.3385128912469</v>
      </c>
      <c r="AA134" s="842"/>
      <c r="AB134" s="843"/>
      <c r="AC134" s="844">
        <v>4676.2844721087531</v>
      </c>
      <c r="AD134" s="842"/>
      <c r="AE134" s="843"/>
      <c r="AF134" s="844">
        <v>3798.0659728381966</v>
      </c>
      <c r="AG134" s="842"/>
      <c r="AH134" s="843"/>
      <c r="AI134" s="844">
        <v>3689.0630636870028</v>
      </c>
      <c r="AJ134" s="842"/>
      <c r="AK134" s="843"/>
      <c r="AL134" s="844">
        <v>3481.9092441909816</v>
      </c>
      <c r="AM134" s="842"/>
      <c r="AN134" s="843"/>
      <c r="AO134" s="844">
        <v>2929.5754139522546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26207.693723076925</v>
      </c>
      <c r="F135" s="812"/>
      <c r="G135" s="820"/>
      <c r="H135" s="834">
        <v>1798.8620962864723</v>
      </c>
      <c r="I135" s="812"/>
      <c r="J135" s="820"/>
      <c r="K135" s="834">
        <v>1906.5468098143238</v>
      </c>
      <c r="L135" s="812"/>
      <c r="M135" s="820"/>
      <c r="N135" s="834">
        <v>2118.10190530504</v>
      </c>
      <c r="O135" s="812"/>
      <c r="P135" s="820"/>
      <c r="Q135" s="834">
        <v>2700.8320007957564</v>
      </c>
      <c r="R135" s="812"/>
      <c r="S135" s="820"/>
      <c r="T135" s="834">
        <v>2515.2445007957563</v>
      </c>
      <c r="U135" s="812"/>
      <c r="V135" s="820"/>
      <c r="W135" s="834">
        <v>2118.10190530504</v>
      </c>
      <c r="X135" s="812"/>
      <c r="Y135" s="820"/>
      <c r="Z135" s="834">
        <v>2355.6245962864723</v>
      </c>
      <c r="AA135" s="812"/>
      <c r="AB135" s="820"/>
      <c r="AC135" s="834">
        <v>2489.2769053050397</v>
      </c>
      <c r="AD135" s="812"/>
      <c r="AE135" s="820"/>
      <c r="AF135" s="834">
        <v>2144.0695007957561</v>
      </c>
      <c r="AG135" s="812"/>
      <c r="AH135" s="820"/>
      <c r="AI135" s="834">
        <v>2170.0370962864722</v>
      </c>
      <c r="AJ135" s="812"/>
      <c r="AK135" s="820"/>
      <c r="AL135" s="834">
        <v>2092.1343098143238</v>
      </c>
      <c r="AM135" s="812"/>
      <c r="AN135" s="820"/>
      <c r="AO135" s="834">
        <v>1798.8620962864723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5615.9343692307675</v>
      </c>
      <c r="F136" s="812"/>
      <c r="G136" s="820"/>
      <c r="H136" s="834">
        <v>385.47044920424401</v>
      </c>
      <c r="I136" s="812"/>
      <c r="J136" s="820"/>
      <c r="K136" s="834">
        <v>408.54574496021218</v>
      </c>
      <c r="L136" s="812"/>
      <c r="M136" s="820"/>
      <c r="N136" s="834">
        <v>453.87897970822274</v>
      </c>
      <c r="O136" s="812"/>
      <c r="P136" s="820"/>
      <c r="Q136" s="834">
        <v>578.74971445623339</v>
      </c>
      <c r="R136" s="812"/>
      <c r="S136" s="820"/>
      <c r="T136" s="834">
        <v>538.98096445623344</v>
      </c>
      <c r="U136" s="812"/>
      <c r="V136" s="820"/>
      <c r="W136" s="834">
        <v>453.87897970822274</v>
      </c>
      <c r="X136" s="812"/>
      <c r="Y136" s="820"/>
      <c r="Z136" s="834">
        <v>504.77669920424404</v>
      </c>
      <c r="AA136" s="812"/>
      <c r="AB136" s="820"/>
      <c r="AC136" s="834">
        <v>533.41647970822271</v>
      </c>
      <c r="AD136" s="812"/>
      <c r="AE136" s="820"/>
      <c r="AF136" s="834">
        <v>459.44346445623336</v>
      </c>
      <c r="AG136" s="812"/>
      <c r="AH136" s="820"/>
      <c r="AI136" s="834">
        <v>465.00794920424403</v>
      </c>
      <c r="AJ136" s="812"/>
      <c r="AK136" s="820"/>
      <c r="AL136" s="834">
        <v>448.31449496021219</v>
      </c>
      <c r="AM136" s="812"/>
      <c r="AN136" s="820"/>
      <c r="AO136" s="834">
        <v>385.47044920424401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0.31318410912076511</v>
      </c>
      <c r="E138" s="841">
        <v>253131.05619685838</v>
      </c>
      <c r="F138" s="839" t="s">
        <v>108</v>
      </c>
      <c r="G138" s="840">
        <v>0.49680526105995337</v>
      </c>
      <c r="H138" s="841">
        <v>21635.869119160969</v>
      </c>
      <c r="I138" s="839" t="s">
        <v>108</v>
      </c>
      <c r="J138" s="840">
        <v>0.36749455858582591</v>
      </c>
      <c r="K138" s="841">
        <v>19587.459972624521</v>
      </c>
      <c r="L138" s="839" t="s">
        <v>108</v>
      </c>
      <c r="M138" s="840">
        <v>0.3098073835581972</v>
      </c>
      <c r="N138" s="841">
        <v>20075.518454571178</v>
      </c>
      <c r="O138" s="839" t="s">
        <v>108</v>
      </c>
      <c r="P138" s="840">
        <v>0.24142092972830731</v>
      </c>
      <c r="Q138" s="841">
        <v>23297.119718781654</v>
      </c>
      <c r="R138" s="839" t="s">
        <v>108</v>
      </c>
      <c r="S138" s="840">
        <v>0.26122147899933651</v>
      </c>
      <c r="T138" s="841">
        <v>22478.108267892909</v>
      </c>
      <c r="U138" s="839" t="s">
        <v>108</v>
      </c>
      <c r="V138" s="840">
        <v>0.31720050087425627</v>
      </c>
      <c r="W138" s="841">
        <v>20665.612631957796</v>
      </c>
      <c r="X138" s="839" t="s">
        <v>108</v>
      </c>
      <c r="Y138" s="840">
        <v>0.29301321573662609</v>
      </c>
      <c r="Z138" s="841">
        <v>22151.799109688931</v>
      </c>
      <c r="AA138" s="839" t="s">
        <v>108</v>
      </c>
      <c r="AB138" s="840">
        <v>0.24583846850339408</v>
      </c>
      <c r="AC138" s="841">
        <v>21154.400214717061</v>
      </c>
      <c r="AD138" s="839" t="s">
        <v>108</v>
      </c>
      <c r="AE138" s="840">
        <v>0.31834475493445458</v>
      </c>
      <c r="AF138" s="841">
        <v>20740.160783979714</v>
      </c>
      <c r="AG138" s="839" t="s">
        <v>108</v>
      </c>
      <c r="AH138" s="840">
        <v>0.32349216470276287</v>
      </c>
      <c r="AI138" s="841">
        <v>20962.292272739036</v>
      </c>
      <c r="AJ138" s="839" t="s">
        <v>108</v>
      </c>
      <c r="AK138" s="840">
        <v>0.29525891976320529</v>
      </c>
      <c r="AL138" s="841">
        <v>19029.437378738581</v>
      </c>
      <c r="AM138" s="839" t="s">
        <v>108</v>
      </c>
      <c r="AN138" s="840">
        <v>0.4983262140491479</v>
      </c>
      <c r="AO138" s="841">
        <v>21353.278272005988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11323.6</v>
      </c>
      <c r="F141" s="847"/>
      <c r="G141" s="848"/>
      <c r="H141" s="849">
        <v>943.63333333333344</v>
      </c>
      <c r="I141" s="847"/>
      <c r="J141" s="848"/>
      <c r="K141" s="849">
        <v>943.63333333333344</v>
      </c>
      <c r="L141" s="847"/>
      <c r="M141" s="848"/>
      <c r="N141" s="849">
        <v>943.63333333333344</v>
      </c>
      <c r="O141" s="847"/>
      <c r="P141" s="848"/>
      <c r="Q141" s="849">
        <v>943.63333333333344</v>
      </c>
      <c r="R141" s="847"/>
      <c r="S141" s="848"/>
      <c r="T141" s="849">
        <v>943.63333333333344</v>
      </c>
      <c r="U141" s="847"/>
      <c r="V141" s="848"/>
      <c r="W141" s="849">
        <v>943.63333333333344</v>
      </c>
      <c r="X141" s="847"/>
      <c r="Y141" s="848"/>
      <c r="Z141" s="849">
        <v>943.63333333333344</v>
      </c>
      <c r="AA141" s="847"/>
      <c r="AB141" s="848"/>
      <c r="AC141" s="849">
        <v>943.63333333333344</v>
      </c>
      <c r="AD141" s="847"/>
      <c r="AE141" s="848"/>
      <c r="AF141" s="849">
        <v>943.63333333333344</v>
      </c>
      <c r="AG141" s="847"/>
      <c r="AH141" s="848"/>
      <c r="AI141" s="849">
        <v>943.63333333333344</v>
      </c>
      <c r="AJ141" s="847"/>
      <c r="AK141" s="848"/>
      <c r="AL141" s="849">
        <v>943.63333333333344</v>
      </c>
      <c r="AM141" s="847"/>
      <c r="AN141" s="848"/>
      <c r="AO141" s="849">
        <v>943.63333333333344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17104.8</v>
      </c>
      <c r="F142" s="812"/>
      <c r="G142" s="820"/>
      <c r="H142" s="834">
        <v>1425.4</v>
      </c>
      <c r="I142" s="812"/>
      <c r="J142" s="820"/>
      <c r="K142" s="834">
        <v>1425.4</v>
      </c>
      <c r="L142" s="812"/>
      <c r="M142" s="820"/>
      <c r="N142" s="834">
        <v>1425.4</v>
      </c>
      <c r="O142" s="812"/>
      <c r="P142" s="820"/>
      <c r="Q142" s="834">
        <v>1425.4</v>
      </c>
      <c r="R142" s="812"/>
      <c r="S142" s="820"/>
      <c r="T142" s="834">
        <v>1425.4</v>
      </c>
      <c r="U142" s="812"/>
      <c r="V142" s="820"/>
      <c r="W142" s="834">
        <v>1425.4</v>
      </c>
      <c r="X142" s="812"/>
      <c r="Y142" s="820"/>
      <c r="Z142" s="834">
        <v>1425.4</v>
      </c>
      <c r="AA142" s="812"/>
      <c r="AB142" s="820"/>
      <c r="AC142" s="834">
        <v>1425.4</v>
      </c>
      <c r="AD142" s="812"/>
      <c r="AE142" s="820"/>
      <c r="AF142" s="834">
        <v>1425.4</v>
      </c>
      <c r="AG142" s="812"/>
      <c r="AH142" s="820"/>
      <c r="AI142" s="834">
        <v>1425.4</v>
      </c>
      <c r="AJ142" s="812"/>
      <c r="AK142" s="820"/>
      <c r="AL142" s="834">
        <v>1425.4</v>
      </c>
      <c r="AM142" s="812"/>
      <c r="AN142" s="820"/>
      <c r="AO142" s="834">
        <v>1425.4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2199.9999999999995</v>
      </c>
      <c r="F143" s="812"/>
      <c r="G143" s="820"/>
      <c r="H143" s="834">
        <v>183.33333333333334</v>
      </c>
      <c r="I143" s="812"/>
      <c r="J143" s="820"/>
      <c r="K143" s="834">
        <v>183.33333333333334</v>
      </c>
      <c r="L143" s="812"/>
      <c r="M143" s="820"/>
      <c r="N143" s="834">
        <v>183.33333333333334</v>
      </c>
      <c r="O143" s="812"/>
      <c r="P143" s="820"/>
      <c r="Q143" s="834">
        <v>183.33333333333334</v>
      </c>
      <c r="R143" s="812"/>
      <c r="S143" s="820"/>
      <c r="T143" s="834">
        <v>183.33333333333334</v>
      </c>
      <c r="U143" s="812"/>
      <c r="V143" s="820"/>
      <c r="W143" s="834">
        <v>183.33333333333334</v>
      </c>
      <c r="X143" s="812"/>
      <c r="Y143" s="820"/>
      <c r="Z143" s="834">
        <v>183.33333333333334</v>
      </c>
      <c r="AA143" s="812"/>
      <c r="AB143" s="820"/>
      <c r="AC143" s="834">
        <v>183.33333333333334</v>
      </c>
      <c r="AD143" s="812"/>
      <c r="AE143" s="820"/>
      <c r="AF143" s="834">
        <v>183.33333333333334</v>
      </c>
      <c r="AG143" s="812"/>
      <c r="AH143" s="820"/>
      <c r="AI143" s="834">
        <v>183.33333333333334</v>
      </c>
      <c r="AJ143" s="812"/>
      <c r="AK143" s="820"/>
      <c r="AL143" s="834">
        <v>183.33333333333334</v>
      </c>
      <c r="AM143" s="812"/>
      <c r="AN143" s="820"/>
      <c r="AO143" s="834">
        <v>183.33333333333334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8839.2000000000025</v>
      </c>
      <c r="F144" s="847"/>
      <c r="G144" s="848"/>
      <c r="H144" s="849">
        <v>736.6</v>
      </c>
      <c r="I144" s="847"/>
      <c r="J144" s="848"/>
      <c r="K144" s="849">
        <v>736.6</v>
      </c>
      <c r="L144" s="847"/>
      <c r="M144" s="848"/>
      <c r="N144" s="849">
        <v>736.6</v>
      </c>
      <c r="O144" s="847"/>
      <c r="P144" s="848"/>
      <c r="Q144" s="849">
        <v>736.6</v>
      </c>
      <c r="R144" s="847"/>
      <c r="S144" s="848"/>
      <c r="T144" s="849">
        <v>736.6</v>
      </c>
      <c r="U144" s="847"/>
      <c r="V144" s="848"/>
      <c r="W144" s="849">
        <v>736.6</v>
      </c>
      <c r="X144" s="847"/>
      <c r="Y144" s="848"/>
      <c r="Z144" s="849">
        <v>736.6</v>
      </c>
      <c r="AA144" s="847"/>
      <c r="AB144" s="848"/>
      <c r="AC144" s="849">
        <v>736.6</v>
      </c>
      <c r="AD144" s="847"/>
      <c r="AE144" s="848"/>
      <c r="AF144" s="849">
        <v>736.6</v>
      </c>
      <c r="AG144" s="847"/>
      <c r="AH144" s="848"/>
      <c r="AI144" s="849">
        <v>736.6</v>
      </c>
      <c r="AJ144" s="847"/>
      <c r="AK144" s="848"/>
      <c r="AL144" s="849">
        <v>736.6</v>
      </c>
      <c r="AM144" s="847"/>
      <c r="AN144" s="848"/>
      <c r="AO144" s="849">
        <v>736.6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210</v>
      </c>
      <c r="F145" s="812"/>
      <c r="G145" s="820"/>
      <c r="H145" s="834">
        <v>17.5</v>
      </c>
      <c r="I145" s="812"/>
      <c r="J145" s="820"/>
      <c r="K145" s="834">
        <v>17.5</v>
      </c>
      <c r="L145" s="812"/>
      <c r="M145" s="820"/>
      <c r="N145" s="834">
        <v>17.5</v>
      </c>
      <c r="O145" s="812"/>
      <c r="P145" s="820"/>
      <c r="Q145" s="834">
        <v>17.5</v>
      </c>
      <c r="R145" s="812"/>
      <c r="S145" s="820"/>
      <c r="T145" s="834">
        <v>17.5</v>
      </c>
      <c r="U145" s="812"/>
      <c r="V145" s="820"/>
      <c r="W145" s="834">
        <v>17.5</v>
      </c>
      <c r="X145" s="812"/>
      <c r="Y145" s="820"/>
      <c r="Z145" s="834">
        <v>17.5</v>
      </c>
      <c r="AA145" s="812"/>
      <c r="AB145" s="820"/>
      <c r="AC145" s="834">
        <v>17.5</v>
      </c>
      <c r="AD145" s="812"/>
      <c r="AE145" s="820"/>
      <c r="AF145" s="834">
        <v>17.5</v>
      </c>
      <c r="AG145" s="812"/>
      <c r="AH145" s="820"/>
      <c r="AI145" s="834">
        <v>17.5</v>
      </c>
      <c r="AJ145" s="812"/>
      <c r="AK145" s="820"/>
      <c r="AL145" s="834">
        <v>17.5</v>
      </c>
      <c r="AM145" s="812"/>
      <c r="AN145" s="820"/>
      <c r="AO145" s="834">
        <v>17.5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120</v>
      </c>
      <c r="F146" s="812"/>
      <c r="G146" s="820"/>
      <c r="H146" s="834">
        <v>10</v>
      </c>
      <c r="I146" s="812"/>
      <c r="J146" s="820"/>
      <c r="K146" s="834">
        <v>10</v>
      </c>
      <c r="L146" s="812"/>
      <c r="M146" s="820"/>
      <c r="N146" s="834">
        <v>10</v>
      </c>
      <c r="O146" s="812"/>
      <c r="P146" s="820"/>
      <c r="Q146" s="834">
        <v>10</v>
      </c>
      <c r="R146" s="812"/>
      <c r="S146" s="820"/>
      <c r="T146" s="834">
        <v>10</v>
      </c>
      <c r="U146" s="812"/>
      <c r="V146" s="820"/>
      <c r="W146" s="834">
        <v>10</v>
      </c>
      <c r="X146" s="812"/>
      <c r="Y146" s="820"/>
      <c r="Z146" s="834">
        <v>10</v>
      </c>
      <c r="AA146" s="812"/>
      <c r="AB146" s="820"/>
      <c r="AC146" s="834">
        <v>10</v>
      </c>
      <c r="AD146" s="812"/>
      <c r="AE146" s="820"/>
      <c r="AF146" s="834">
        <v>10</v>
      </c>
      <c r="AG146" s="812"/>
      <c r="AH146" s="820"/>
      <c r="AI146" s="834">
        <v>10</v>
      </c>
      <c r="AJ146" s="812"/>
      <c r="AK146" s="820"/>
      <c r="AL146" s="834">
        <v>10</v>
      </c>
      <c r="AM146" s="812"/>
      <c r="AN146" s="820"/>
      <c r="AO146" s="834">
        <v>10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1890</v>
      </c>
      <c r="F147" s="812"/>
      <c r="G147" s="820"/>
      <c r="H147" s="834">
        <v>157.5</v>
      </c>
      <c r="I147" s="812"/>
      <c r="J147" s="820"/>
      <c r="K147" s="834">
        <v>157.5</v>
      </c>
      <c r="L147" s="812"/>
      <c r="M147" s="820"/>
      <c r="N147" s="834">
        <v>157.5</v>
      </c>
      <c r="O147" s="812"/>
      <c r="P147" s="820"/>
      <c r="Q147" s="834">
        <v>157.5</v>
      </c>
      <c r="R147" s="812"/>
      <c r="S147" s="820"/>
      <c r="T147" s="834">
        <v>157.5</v>
      </c>
      <c r="U147" s="812"/>
      <c r="V147" s="820"/>
      <c r="W147" s="834">
        <v>157.5</v>
      </c>
      <c r="X147" s="812"/>
      <c r="Y147" s="820"/>
      <c r="Z147" s="834">
        <v>157.5</v>
      </c>
      <c r="AA147" s="812"/>
      <c r="AB147" s="820"/>
      <c r="AC147" s="834">
        <v>157.5</v>
      </c>
      <c r="AD147" s="812"/>
      <c r="AE147" s="820"/>
      <c r="AF147" s="834">
        <v>157.5</v>
      </c>
      <c r="AG147" s="812"/>
      <c r="AH147" s="820"/>
      <c r="AI147" s="834">
        <v>157.5</v>
      </c>
      <c r="AJ147" s="812"/>
      <c r="AK147" s="820"/>
      <c r="AL147" s="834">
        <v>157.5</v>
      </c>
      <c r="AM147" s="812"/>
      <c r="AN147" s="820"/>
      <c r="AO147" s="834">
        <v>157.5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540</v>
      </c>
      <c r="F149" s="812"/>
      <c r="G149" s="820"/>
      <c r="H149" s="834">
        <v>45</v>
      </c>
      <c r="I149" s="812"/>
      <c r="J149" s="820"/>
      <c r="K149" s="834">
        <v>45</v>
      </c>
      <c r="L149" s="812"/>
      <c r="M149" s="820"/>
      <c r="N149" s="834">
        <v>45</v>
      </c>
      <c r="O149" s="812"/>
      <c r="P149" s="820"/>
      <c r="Q149" s="834">
        <v>45</v>
      </c>
      <c r="R149" s="812"/>
      <c r="S149" s="820"/>
      <c r="T149" s="834">
        <v>45</v>
      </c>
      <c r="U149" s="812"/>
      <c r="V149" s="820"/>
      <c r="W149" s="834">
        <v>45</v>
      </c>
      <c r="X149" s="812"/>
      <c r="Y149" s="820"/>
      <c r="Z149" s="834">
        <v>45</v>
      </c>
      <c r="AA149" s="812"/>
      <c r="AB149" s="820"/>
      <c r="AC149" s="834">
        <v>45</v>
      </c>
      <c r="AD149" s="812"/>
      <c r="AE149" s="820"/>
      <c r="AF149" s="834">
        <v>45</v>
      </c>
      <c r="AG149" s="812"/>
      <c r="AH149" s="820"/>
      <c r="AI149" s="834">
        <v>45</v>
      </c>
      <c r="AJ149" s="812"/>
      <c r="AK149" s="820"/>
      <c r="AL149" s="834">
        <v>45</v>
      </c>
      <c r="AM149" s="812"/>
      <c r="AN149" s="820"/>
      <c r="AO149" s="834">
        <v>45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2089.1999999999998</v>
      </c>
      <c r="F150" s="812"/>
      <c r="G150" s="820"/>
      <c r="H150" s="834">
        <v>174.10000000000002</v>
      </c>
      <c r="I150" s="812"/>
      <c r="J150" s="820"/>
      <c r="K150" s="834">
        <v>174.10000000000002</v>
      </c>
      <c r="L150" s="812"/>
      <c r="M150" s="820"/>
      <c r="N150" s="834">
        <v>174.10000000000002</v>
      </c>
      <c r="O150" s="812"/>
      <c r="P150" s="820"/>
      <c r="Q150" s="834">
        <v>174.10000000000002</v>
      </c>
      <c r="R150" s="812"/>
      <c r="S150" s="820"/>
      <c r="T150" s="834">
        <v>174.10000000000002</v>
      </c>
      <c r="U150" s="812"/>
      <c r="V150" s="820"/>
      <c r="W150" s="834">
        <v>174.10000000000002</v>
      </c>
      <c r="X150" s="812"/>
      <c r="Y150" s="820"/>
      <c r="Z150" s="834">
        <v>174.10000000000002</v>
      </c>
      <c r="AA150" s="812"/>
      <c r="AB150" s="820"/>
      <c r="AC150" s="834">
        <v>174.10000000000002</v>
      </c>
      <c r="AD150" s="812"/>
      <c r="AE150" s="820"/>
      <c r="AF150" s="834">
        <v>174.10000000000002</v>
      </c>
      <c r="AG150" s="812"/>
      <c r="AH150" s="820"/>
      <c r="AI150" s="834">
        <v>174.10000000000002</v>
      </c>
      <c r="AJ150" s="812"/>
      <c r="AK150" s="820"/>
      <c r="AL150" s="834">
        <v>174.10000000000002</v>
      </c>
      <c r="AM150" s="812"/>
      <c r="AN150" s="820"/>
      <c r="AO150" s="834">
        <v>174.10000000000002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1488.4893600000003</v>
      </c>
      <c r="F151" s="812"/>
      <c r="G151" s="820"/>
      <c r="H151" s="834">
        <v>124.04077999999998</v>
      </c>
      <c r="I151" s="812"/>
      <c r="J151" s="820"/>
      <c r="K151" s="834">
        <v>124.04077999999998</v>
      </c>
      <c r="L151" s="812"/>
      <c r="M151" s="820"/>
      <c r="N151" s="834">
        <v>124.04077999999998</v>
      </c>
      <c r="O151" s="812"/>
      <c r="P151" s="820"/>
      <c r="Q151" s="834">
        <v>124.04077999999998</v>
      </c>
      <c r="R151" s="812"/>
      <c r="S151" s="820"/>
      <c r="T151" s="834">
        <v>124.04077999999998</v>
      </c>
      <c r="U151" s="812"/>
      <c r="V151" s="820"/>
      <c r="W151" s="834">
        <v>124.04077999999998</v>
      </c>
      <c r="X151" s="812"/>
      <c r="Y151" s="820"/>
      <c r="Z151" s="834">
        <v>124.04077999999998</v>
      </c>
      <c r="AA151" s="812"/>
      <c r="AB151" s="820"/>
      <c r="AC151" s="834">
        <v>124.04077999999998</v>
      </c>
      <c r="AD151" s="812"/>
      <c r="AE151" s="820"/>
      <c r="AF151" s="834">
        <v>124.04077999999998</v>
      </c>
      <c r="AG151" s="812"/>
      <c r="AH151" s="820"/>
      <c r="AI151" s="834">
        <v>124.04077999999998</v>
      </c>
      <c r="AJ151" s="812"/>
      <c r="AK151" s="820"/>
      <c r="AL151" s="834">
        <v>124.04077999999998</v>
      </c>
      <c r="AM151" s="812"/>
      <c r="AN151" s="820"/>
      <c r="AO151" s="834">
        <v>124.04077999999998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7852.6351005882361</v>
      </c>
      <c r="F152" s="812"/>
      <c r="G152" s="820"/>
      <c r="H152" s="834">
        <v>439.589451922781</v>
      </c>
      <c r="I152" s="812"/>
      <c r="J152" s="820"/>
      <c r="K152" s="834">
        <v>427.6852218551021</v>
      </c>
      <c r="L152" s="812"/>
      <c r="M152" s="820"/>
      <c r="N152" s="834">
        <v>685.80142248837114</v>
      </c>
      <c r="O152" s="812"/>
      <c r="P152" s="820"/>
      <c r="Q152" s="834">
        <v>907.42156600810199</v>
      </c>
      <c r="R152" s="812"/>
      <c r="S152" s="820"/>
      <c r="T152" s="834">
        <v>940.425877335427</v>
      </c>
      <c r="U152" s="812"/>
      <c r="V152" s="820"/>
      <c r="W152" s="834">
        <v>657.80970558663012</v>
      </c>
      <c r="X152" s="812"/>
      <c r="Y152" s="820"/>
      <c r="Z152" s="834">
        <v>597.2516820486486</v>
      </c>
      <c r="AA152" s="812"/>
      <c r="AB152" s="820"/>
      <c r="AC152" s="834">
        <v>698.36378724392489</v>
      </c>
      <c r="AD152" s="812"/>
      <c r="AE152" s="820"/>
      <c r="AF152" s="834">
        <v>693.78446673904728</v>
      </c>
      <c r="AG152" s="812"/>
      <c r="AH152" s="820"/>
      <c r="AI152" s="834">
        <v>690.41409478158016</v>
      </c>
      <c r="AJ152" s="812"/>
      <c r="AK152" s="820"/>
      <c r="AL152" s="834">
        <v>637.96195216605292</v>
      </c>
      <c r="AM152" s="812"/>
      <c r="AN152" s="820"/>
      <c r="AO152" s="834">
        <v>476.12587241256836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6.7326105116719132E-2</v>
      </c>
      <c r="E156" s="841">
        <v>54416.324460588243</v>
      </c>
      <c r="F156" s="839" t="s">
        <v>108</v>
      </c>
      <c r="G156" s="840">
        <v>9.9193958635808224E-2</v>
      </c>
      <c r="H156" s="841">
        <v>4319.896898589448</v>
      </c>
      <c r="I156" s="839" t="s">
        <v>108</v>
      </c>
      <c r="J156" s="840">
        <v>8.0825378396280845E-2</v>
      </c>
      <c r="K156" s="841">
        <v>4307.9926685217688</v>
      </c>
      <c r="L156" s="839" t="s">
        <v>108</v>
      </c>
      <c r="M156" s="840">
        <v>7.0464643042516012E-2</v>
      </c>
      <c r="N156" s="841">
        <v>4566.1088691550376</v>
      </c>
      <c r="O156" s="839" t="s">
        <v>108</v>
      </c>
      <c r="P156" s="840">
        <v>4.9613772152070142E-2</v>
      </c>
      <c r="Q156" s="841">
        <v>4787.7290126747685</v>
      </c>
      <c r="R156" s="839" t="s">
        <v>108</v>
      </c>
      <c r="S156" s="840">
        <v>5.6022467449181795E-2</v>
      </c>
      <c r="T156" s="841">
        <v>4820.7333240020935</v>
      </c>
      <c r="U156" s="839" t="s">
        <v>108</v>
      </c>
      <c r="V156" s="840">
        <v>6.96564413239186E-2</v>
      </c>
      <c r="W156" s="841">
        <v>4538.1171522532968</v>
      </c>
      <c r="X156" s="839" t="s">
        <v>108</v>
      </c>
      <c r="Y156" s="840">
        <v>5.9226972602054437E-2</v>
      </c>
      <c r="Z156" s="841">
        <v>4477.5591287153156</v>
      </c>
      <c r="AA156" s="839" t="s">
        <v>108</v>
      </c>
      <c r="AB156" s="840">
        <v>5.3209427471360739E-2</v>
      </c>
      <c r="AC156" s="841">
        <v>4578.6712339105916</v>
      </c>
      <c r="AD156" s="839" t="s">
        <v>108</v>
      </c>
      <c r="AE156" s="840">
        <v>7.0208624917969517E-2</v>
      </c>
      <c r="AF156" s="841">
        <v>4574.091913405714</v>
      </c>
      <c r="AG156" s="839" t="s">
        <v>108</v>
      </c>
      <c r="AH156" s="840">
        <v>7.05358262569174E-2</v>
      </c>
      <c r="AI156" s="841">
        <v>4570.7215414482471</v>
      </c>
      <c r="AJ156" s="839" t="s">
        <v>108</v>
      </c>
      <c r="AK156" s="840">
        <v>7.0105033341081757E-2</v>
      </c>
      <c r="AL156" s="841">
        <v>4518.2693988327192</v>
      </c>
      <c r="AM156" s="839" t="s">
        <v>108</v>
      </c>
      <c r="AN156" s="840">
        <v>0.10166705528773011</v>
      </c>
      <c r="AO156" s="841">
        <v>4356.4333190792349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0.91480858942911292</v>
      </c>
      <c r="E158" s="850">
        <v>739394.04240608052</v>
      </c>
      <c r="F158" s="839" t="s">
        <v>108</v>
      </c>
      <c r="G158" s="840">
        <v>1.2513242184002578</v>
      </c>
      <c r="H158" s="850">
        <v>54495.169711331226</v>
      </c>
      <c r="I158" s="839" t="s">
        <v>108</v>
      </c>
      <c r="J158" s="840">
        <v>1.0393038258167879</v>
      </c>
      <c r="K158" s="850">
        <v>55394.893916034795</v>
      </c>
      <c r="L158" s="839" t="s">
        <v>108</v>
      </c>
      <c r="M158" s="840">
        <v>0.93114666144561875</v>
      </c>
      <c r="N158" s="850">
        <v>60338.303661676095</v>
      </c>
      <c r="O158" s="839" t="s">
        <v>108</v>
      </c>
      <c r="P158" s="840">
        <v>0.75988994381163577</v>
      </c>
      <c r="Q158" s="850">
        <v>73329.379577822852</v>
      </c>
      <c r="R158" s="839" t="s">
        <v>108</v>
      </c>
      <c r="S158" s="840">
        <v>0.80277021525811609</v>
      </c>
      <c r="T158" s="850">
        <v>69078.377022960893</v>
      </c>
      <c r="U158" s="839" t="s">
        <v>108</v>
      </c>
      <c r="V158" s="840">
        <v>0.92669146575204397</v>
      </c>
      <c r="W158" s="850">
        <v>60373.948993745667</v>
      </c>
      <c r="X158" s="839" t="s">
        <v>108</v>
      </c>
      <c r="Y158" s="840">
        <v>0.86724534626834249</v>
      </c>
      <c r="Z158" s="850">
        <v>65563.748177886693</v>
      </c>
      <c r="AA158" s="839" t="s">
        <v>108</v>
      </c>
      <c r="AB158" s="840">
        <v>0.78376380103343712</v>
      </c>
      <c r="AC158" s="850">
        <v>67442.87507892726</v>
      </c>
      <c r="AD158" s="839" t="s">
        <v>108</v>
      </c>
      <c r="AE158" s="840">
        <v>0.92673440136101137</v>
      </c>
      <c r="AF158" s="850">
        <v>60376.746248669893</v>
      </c>
      <c r="AG158" s="839" t="s">
        <v>108</v>
      </c>
      <c r="AH158" s="840">
        <v>0.93856536467158802</v>
      </c>
      <c r="AI158" s="850">
        <v>60819.035630718907</v>
      </c>
      <c r="AJ158" s="839" t="s">
        <v>108</v>
      </c>
      <c r="AK158" s="840">
        <v>0.90171950053204675</v>
      </c>
      <c r="AL158" s="850">
        <v>58115.821809290414</v>
      </c>
      <c r="AM158" s="839" t="s">
        <v>108</v>
      </c>
      <c r="AN158" s="840">
        <v>1.2617442841777307</v>
      </c>
      <c r="AO158" s="850">
        <v>54065.742577015757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28125</v>
      </c>
      <c r="F159" s="864"/>
      <c r="G159" s="875"/>
      <c r="H159" s="834">
        <v>1500</v>
      </c>
      <c r="I159" s="864"/>
      <c r="J159" s="875"/>
      <c r="K159" s="834">
        <v>1875</v>
      </c>
      <c r="L159" s="864"/>
      <c r="M159" s="875"/>
      <c r="N159" s="834">
        <v>2250</v>
      </c>
      <c r="O159" s="864"/>
      <c r="P159" s="875"/>
      <c r="Q159" s="834">
        <v>3375</v>
      </c>
      <c r="R159" s="864"/>
      <c r="S159" s="875"/>
      <c r="T159" s="834">
        <v>3000</v>
      </c>
      <c r="U159" s="864"/>
      <c r="V159" s="875"/>
      <c r="W159" s="834">
        <v>2250</v>
      </c>
      <c r="X159" s="864"/>
      <c r="Y159" s="875"/>
      <c r="Z159" s="834">
        <v>2625</v>
      </c>
      <c r="AA159" s="864"/>
      <c r="AB159" s="875"/>
      <c r="AC159" s="834">
        <v>3000</v>
      </c>
      <c r="AD159" s="864"/>
      <c r="AE159" s="875"/>
      <c r="AF159" s="834">
        <v>2250</v>
      </c>
      <c r="AG159" s="864"/>
      <c r="AH159" s="875"/>
      <c r="AI159" s="834">
        <v>2250</v>
      </c>
      <c r="AJ159" s="864"/>
      <c r="AK159" s="875"/>
      <c r="AL159" s="834">
        <v>2250</v>
      </c>
      <c r="AM159" s="864"/>
      <c r="AN159" s="875"/>
      <c r="AO159" s="834">
        <v>1500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10050</v>
      </c>
      <c r="F160" s="864"/>
      <c r="G160" s="875"/>
      <c r="H160" s="834">
        <v>536</v>
      </c>
      <c r="I160" s="864"/>
      <c r="J160" s="875"/>
      <c r="K160" s="834">
        <v>670</v>
      </c>
      <c r="L160" s="864"/>
      <c r="M160" s="875"/>
      <c r="N160" s="834">
        <v>804</v>
      </c>
      <c r="O160" s="864"/>
      <c r="P160" s="875"/>
      <c r="Q160" s="834">
        <v>1206</v>
      </c>
      <c r="R160" s="864"/>
      <c r="S160" s="875"/>
      <c r="T160" s="834">
        <v>1072</v>
      </c>
      <c r="U160" s="864"/>
      <c r="V160" s="875"/>
      <c r="W160" s="834">
        <v>804</v>
      </c>
      <c r="X160" s="864"/>
      <c r="Y160" s="875"/>
      <c r="Z160" s="834">
        <v>938</v>
      </c>
      <c r="AA160" s="864"/>
      <c r="AB160" s="875"/>
      <c r="AC160" s="834">
        <v>1072</v>
      </c>
      <c r="AD160" s="864"/>
      <c r="AE160" s="875"/>
      <c r="AF160" s="834">
        <v>804</v>
      </c>
      <c r="AG160" s="864"/>
      <c r="AH160" s="875"/>
      <c r="AI160" s="834">
        <v>804</v>
      </c>
      <c r="AJ160" s="864"/>
      <c r="AK160" s="875"/>
      <c r="AL160" s="834">
        <v>804</v>
      </c>
      <c r="AM160" s="864"/>
      <c r="AN160" s="875"/>
      <c r="AO160" s="834">
        <v>536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111116.25</v>
      </c>
      <c r="F165" s="838"/>
      <c r="G165" s="845"/>
      <c r="H165" s="837">
        <v>5926.2</v>
      </c>
      <c r="I165" s="838"/>
      <c r="J165" s="845"/>
      <c r="K165" s="837">
        <v>7407.75</v>
      </c>
      <c r="L165" s="838"/>
      <c r="M165" s="845"/>
      <c r="N165" s="837">
        <v>8889.2999999999993</v>
      </c>
      <c r="O165" s="838"/>
      <c r="P165" s="845"/>
      <c r="Q165" s="837">
        <v>13333.949999999999</v>
      </c>
      <c r="R165" s="838"/>
      <c r="S165" s="845"/>
      <c r="T165" s="837">
        <v>11852.4</v>
      </c>
      <c r="U165" s="838"/>
      <c r="V165" s="845"/>
      <c r="W165" s="837">
        <v>8889.2999999999993</v>
      </c>
      <c r="X165" s="838"/>
      <c r="Y165" s="845"/>
      <c r="Z165" s="837">
        <v>10370.85</v>
      </c>
      <c r="AA165" s="838"/>
      <c r="AB165" s="845"/>
      <c r="AC165" s="837">
        <v>11852.4</v>
      </c>
      <c r="AD165" s="838"/>
      <c r="AE165" s="845"/>
      <c r="AF165" s="837">
        <v>8889.2999999999993</v>
      </c>
      <c r="AG165" s="838"/>
      <c r="AH165" s="845"/>
      <c r="AI165" s="837">
        <v>8889.2999999999993</v>
      </c>
      <c r="AJ165" s="838"/>
      <c r="AK165" s="845"/>
      <c r="AL165" s="837">
        <v>8889.2999999999993</v>
      </c>
      <c r="AM165" s="838"/>
      <c r="AN165" s="845"/>
      <c r="AO165" s="837">
        <v>5926.2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149291.25</v>
      </c>
      <c r="F166" s="876"/>
      <c r="G166" s="877"/>
      <c r="H166" s="850">
        <v>7962.2</v>
      </c>
      <c r="I166" s="876"/>
      <c r="J166" s="877"/>
      <c r="K166" s="850">
        <v>9952.75</v>
      </c>
      <c r="L166" s="876"/>
      <c r="M166" s="877"/>
      <c r="N166" s="850">
        <v>11943.3</v>
      </c>
      <c r="O166" s="876"/>
      <c r="P166" s="877"/>
      <c r="Q166" s="850">
        <v>17914.949999999997</v>
      </c>
      <c r="R166" s="876"/>
      <c r="S166" s="877"/>
      <c r="T166" s="850">
        <v>15924.4</v>
      </c>
      <c r="U166" s="876"/>
      <c r="V166" s="877"/>
      <c r="W166" s="850">
        <v>11943.3</v>
      </c>
      <c r="X166" s="876"/>
      <c r="Y166" s="877"/>
      <c r="Z166" s="850">
        <v>13933.85</v>
      </c>
      <c r="AA166" s="876"/>
      <c r="AB166" s="877"/>
      <c r="AC166" s="850">
        <v>15924.4</v>
      </c>
      <c r="AD166" s="876"/>
      <c r="AE166" s="877"/>
      <c r="AF166" s="850">
        <v>11943.3</v>
      </c>
      <c r="AG166" s="876"/>
      <c r="AH166" s="877"/>
      <c r="AI166" s="850">
        <v>11943.3</v>
      </c>
      <c r="AJ166" s="876"/>
      <c r="AK166" s="877"/>
      <c r="AL166" s="850">
        <v>11943.3</v>
      </c>
      <c r="AM166" s="876"/>
      <c r="AN166" s="877"/>
      <c r="AO166" s="850">
        <v>7962.2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218147.20759391948</v>
      </c>
      <c r="F168" s="878"/>
      <c r="G168" s="879"/>
      <c r="H168" s="859">
        <v>-2982.9697113312259</v>
      </c>
      <c r="I168" s="878"/>
      <c r="J168" s="879"/>
      <c r="K168" s="859">
        <v>7857.8560839652055</v>
      </c>
      <c r="L168" s="878"/>
      <c r="M168" s="879"/>
      <c r="N168" s="859">
        <v>16404.996338323905</v>
      </c>
      <c r="O168" s="878"/>
      <c r="P168" s="879"/>
      <c r="Q168" s="859">
        <v>41085.570422177145</v>
      </c>
      <c r="R168" s="878"/>
      <c r="S168" s="879"/>
      <c r="T168" s="859">
        <v>32896.022977039109</v>
      </c>
      <c r="U168" s="878"/>
      <c r="V168" s="879"/>
      <c r="W168" s="859">
        <v>16719.351006254332</v>
      </c>
      <c r="X168" s="878"/>
      <c r="Y168" s="879"/>
      <c r="Z168" s="859">
        <v>23970.101822113305</v>
      </c>
      <c r="AA168" s="878"/>
      <c r="AB168" s="879"/>
      <c r="AC168" s="859">
        <v>34531.524921072742</v>
      </c>
      <c r="AD168" s="878"/>
      <c r="AE168" s="879"/>
      <c r="AF168" s="859">
        <v>16716.553751330106</v>
      </c>
      <c r="AG168" s="878"/>
      <c r="AH168" s="879"/>
      <c r="AI168" s="859">
        <v>15924.264369281093</v>
      </c>
      <c r="AJ168" s="878"/>
      <c r="AK168" s="879"/>
      <c r="AL168" s="859">
        <v>18277.478190709586</v>
      </c>
      <c r="AM168" s="878"/>
      <c r="AN168" s="879"/>
      <c r="AO168" s="859">
        <v>-3253.5425770157572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2938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2025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2350.0000000000005</v>
      </c>
      <c r="D175" s="882">
        <v>799000</v>
      </c>
      <c r="E175" s="834">
        <v>626416</v>
      </c>
      <c r="F175" s="881">
        <v>97.469421228948804</v>
      </c>
      <c r="G175" s="882">
        <v>33139.603217842588</v>
      </c>
      <c r="H175" s="834">
        <v>25981.44892278859</v>
      </c>
      <c r="I175" s="881">
        <v>96.829691620410145</v>
      </c>
      <c r="J175" s="882">
        <v>32922.095150939451</v>
      </c>
      <c r="K175" s="834">
        <v>25810.922598336532</v>
      </c>
      <c r="L175" s="881">
        <v>132.32200499600097</v>
      </c>
      <c r="M175" s="882">
        <v>44989.481698640331</v>
      </c>
      <c r="N175" s="834">
        <v>35271.75365173402</v>
      </c>
      <c r="O175" s="881">
        <v>273.712365474585</v>
      </c>
      <c r="P175" s="882">
        <v>93062.2042613589</v>
      </c>
      <c r="Q175" s="834">
        <v>72960.768140905377</v>
      </c>
      <c r="R175" s="881">
        <v>321.14307481427102</v>
      </c>
      <c r="S175" s="882">
        <v>109188.64543685214</v>
      </c>
      <c r="T175" s="834">
        <v>85603.898022492082</v>
      </c>
      <c r="U175" s="881">
        <v>191.01536724403653</v>
      </c>
      <c r="V175" s="882">
        <v>64945.22486297242</v>
      </c>
      <c r="W175" s="834">
        <v>50917.056292570378</v>
      </c>
      <c r="X175" s="881">
        <v>190.24167013973516</v>
      </c>
      <c r="Y175" s="882">
        <v>64682.167847509954</v>
      </c>
      <c r="Z175" s="834">
        <v>50710.819592447806</v>
      </c>
      <c r="AA175" s="881">
        <v>170.0969323774604</v>
      </c>
      <c r="AB175" s="882">
        <v>57832.957008336547</v>
      </c>
      <c r="AC175" s="834">
        <v>45341.038294535858</v>
      </c>
      <c r="AD175" s="881">
        <v>160.4918208547264</v>
      </c>
      <c r="AE175" s="882">
        <v>54567.219090606974</v>
      </c>
      <c r="AF175" s="834">
        <v>42780.699767035869</v>
      </c>
      <c r="AG175" s="881">
        <v>278.08363697684797</v>
      </c>
      <c r="AH175" s="882">
        <v>94548.43657212831</v>
      </c>
      <c r="AI175" s="834">
        <v>74125.974272548599</v>
      </c>
      <c r="AJ175" s="881">
        <v>319.79118326427306</v>
      </c>
      <c r="AK175" s="882">
        <v>108729.00230985283</v>
      </c>
      <c r="AL175" s="834">
        <v>85243.537810924623</v>
      </c>
      <c r="AM175" s="881">
        <v>118.80283100870454</v>
      </c>
      <c r="AN175" s="882">
        <v>40392.962542959547</v>
      </c>
      <c r="AO175" s="834">
        <v>31668.082633680286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0.78400000000000003</v>
      </c>
      <c r="F176" s="883"/>
      <c r="G176" s="820"/>
      <c r="H176" s="884">
        <v>0.78400000000000003</v>
      </c>
      <c r="I176" s="883"/>
      <c r="J176" s="820"/>
      <c r="K176" s="884">
        <v>0.78400000000000003</v>
      </c>
      <c r="L176" s="883"/>
      <c r="M176" s="820"/>
      <c r="N176" s="884">
        <v>0.78400000000000003</v>
      </c>
      <c r="O176" s="883"/>
      <c r="P176" s="820"/>
      <c r="Q176" s="884">
        <v>0.78400000000000003</v>
      </c>
      <c r="R176" s="883"/>
      <c r="S176" s="820"/>
      <c r="T176" s="884">
        <v>0.78400000000000003</v>
      </c>
      <c r="U176" s="883"/>
      <c r="V176" s="820"/>
      <c r="W176" s="884">
        <v>0.78400000000000003</v>
      </c>
      <c r="X176" s="883"/>
      <c r="Y176" s="820"/>
      <c r="Z176" s="884">
        <v>0.78400000000000003</v>
      </c>
      <c r="AA176" s="883"/>
      <c r="AB176" s="820"/>
      <c r="AC176" s="884">
        <v>0.78400000000000014</v>
      </c>
      <c r="AD176" s="883"/>
      <c r="AE176" s="820"/>
      <c r="AF176" s="884">
        <v>0.78400000000000003</v>
      </c>
      <c r="AG176" s="883"/>
      <c r="AH176" s="820"/>
      <c r="AI176" s="884">
        <v>0.78400000000000003</v>
      </c>
      <c r="AJ176" s="883"/>
      <c r="AK176" s="820"/>
      <c r="AL176" s="884">
        <v>0.78400000000000003</v>
      </c>
      <c r="AM176" s="883"/>
      <c r="AN176" s="820"/>
      <c r="AO176" s="884">
        <v>0.78400000000000003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339.99999999999994</v>
      </c>
      <c r="E177" s="887"/>
      <c r="F177" s="885"/>
      <c r="G177" s="886">
        <v>339.99999999999994</v>
      </c>
      <c r="H177" s="887"/>
      <c r="I177" s="885"/>
      <c r="J177" s="886">
        <v>340</v>
      </c>
      <c r="K177" s="887"/>
      <c r="L177" s="885"/>
      <c r="M177" s="886">
        <v>340</v>
      </c>
      <c r="N177" s="887"/>
      <c r="O177" s="885"/>
      <c r="P177" s="886">
        <v>340</v>
      </c>
      <c r="Q177" s="887"/>
      <c r="R177" s="885"/>
      <c r="S177" s="886">
        <v>340</v>
      </c>
      <c r="T177" s="887"/>
      <c r="U177" s="885"/>
      <c r="V177" s="886">
        <v>340</v>
      </c>
      <c r="W177" s="887"/>
      <c r="X177" s="885"/>
      <c r="Y177" s="886">
        <v>340</v>
      </c>
      <c r="Z177" s="887"/>
      <c r="AA177" s="885"/>
      <c r="AB177" s="886">
        <v>340.00000000000006</v>
      </c>
      <c r="AC177" s="887"/>
      <c r="AD177" s="885"/>
      <c r="AE177" s="886">
        <v>340</v>
      </c>
      <c r="AF177" s="887"/>
      <c r="AG177" s="885"/>
      <c r="AH177" s="886">
        <v>340</v>
      </c>
      <c r="AI177" s="887"/>
      <c r="AJ177" s="885"/>
      <c r="AK177" s="886">
        <v>340</v>
      </c>
      <c r="AL177" s="887"/>
      <c r="AM177" s="885"/>
      <c r="AN177" s="886">
        <v>340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1949.9999999999998</v>
      </c>
      <c r="D178" s="889">
        <v>284700</v>
      </c>
      <c r="E178" s="844">
        <v>182208</v>
      </c>
      <c r="F178" s="888">
        <v>146.98579743676285</v>
      </c>
      <c r="G178" s="889">
        <v>21459.926425767379</v>
      </c>
      <c r="H178" s="844">
        <v>13734.352912491122</v>
      </c>
      <c r="I178" s="888">
        <v>127.69757469238735</v>
      </c>
      <c r="J178" s="889">
        <v>18643.845905088554</v>
      </c>
      <c r="K178" s="844">
        <v>11932.061379256675</v>
      </c>
      <c r="L178" s="888">
        <v>143.88841096047344</v>
      </c>
      <c r="M178" s="889">
        <v>21007.708000229122</v>
      </c>
      <c r="N178" s="844">
        <v>13444.933120146639</v>
      </c>
      <c r="O178" s="888">
        <v>139.72368088944927</v>
      </c>
      <c r="P178" s="889">
        <v>20399.657409859592</v>
      </c>
      <c r="Q178" s="844">
        <v>13055.780742310139</v>
      </c>
      <c r="R178" s="888">
        <v>175.25955166797965</v>
      </c>
      <c r="S178" s="889">
        <v>25587.894543525032</v>
      </c>
      <c r="T178" s="844">
        <v>16376.252507856021</v>
      </c>
      <c r="U178" s="888">
        <v>193.47905926431406</v>
      </c>
      <c r="V178" s="889">
        <v>28247.942652589849</v>
      </c>
      <c r="W178" s="844">
        <v>18078.683297657502</v>
      </c>
      <c r="X178" s="888">
        <v>200.7400065795326</v>
      </c>
      <c r="Y178" s="889">
        <v>29308.040960611757</v>
      </c>
      <c r="Z178" s="844">
        <v>18757.146214791526</v>
      </c>
      <c r="AA178" s="888">
        <v>187.43857397233415</v>
      </c>
      <c r="AB178" s="889">
        <v>27366.031799960787</v>
      </c>
      <c r="AC178" s="844">
        <v>17514.260351974903</v>
      </c>
      <c r="AD178" s="888">
        <v>193.39490175074755</v>
      </c>
      <c r="AE178" s="889">
        <v>28235.655655609145</v>
      </c>
      <c r="AF178" s="844">
        <v>18070.819619589853</v>
      </c>
      <c r="AG178" s="888">
        <v>153.48585268768451</v>
      </c>
      <c r="AH178" s="889">
        <v>22408.934492401939</v>
      </c>
      <c r="AI178" s="844">
        <v>14341.718075137242</v>
      </c>
      <c r="AJ178" s="888">
        <v>165.11897702335153</v>
      </c>
      <c r="AK178" s="889">
        <v>24107.370645409326</v>
      </c>
      <c r="AL178" s="844">
        <v>15428.717213061969</v>
      </c>
      <c r="AM178" s="888">
        <v>122.78761307498306</v>
      </c>
      <c r="AN178" s="889">
        <v>17926.991508947525</v>
      </c>
      <c r="AO178" s="844">
        <v>11473.274565726417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0.64</v>
      </c>
      <c r="F179" s="812"/>
      <c r="G179" s="820"/>
      <c r="H179" s="884">
        <v>0.64</v>
      </c>
      <c r="I179" s="812"/>
      <c r="J179" s="820"/>
      <c r="K179" s="884">
        <v>0.64</v>
      </c>
      <c r="L179" s="812"/>
      <c r="M179" s="820"/>
      <c r="N179" s="884">
        <v>0.64</v>
      </c>
      <c r="O179" s="812"/>
      <c r="P179" s="820"/>
      <c r="Q179" s="884">
        <v>0.64</v>
      </c>
      <c r="R179" s="812"/>
      <c r="S179" s="820"/>
      <c r="T179" s="884">
        <v>0.64</v>
      </c>
      <c r="U179" s="812"/>
      <c r="V179" s="820"/>
      <c r="W179" s="884">
        <v>0.64</v>
      </c>
      <c r="X179" s="812"/>
      <c r="Y179" s="820"/>
      <c r="Z179" s="884">
        <v>0.64</v>
      </c>
      <c r="AA179" s="812"/>
      <c r="AB179" s="820"/>
      <c r="AC179" s="884">
        <v>0.64</v>
      </c>
      <c r="AD179" s="812"/>
      <c r="AE179" s="820"/>
      <c r="AF179" s="884">
        <v>0.64</v>
      </c>
      <c r="AG179" s="812"/>
      <c r="AH179" s="820"/>
      <c r="AI179" s="884">
        <v>0.64</v>
      </c>
      <c r="AJ179" s="812"/>
      <c r="AK179" s="820"/>
      <c r="AL179" s="884">
        <v>0.64</v>
      </c>
      <c r="AM179" s="812"/>
      <c r="AN179" s="820"/>
      <c r="AO179" s="884">
        <v>0.64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146.00000000000003</v>
      </c>
      <c r="E180" s="887"/>
      <c r="F180" s="838"/>
      <c r="G180" s="886">
        <v>146.00000000000003</v>
      </c>
      <c r="H180" s="887"/>
      <c r="I180" s="838"/>
      <c r="J180" s="886">
        <v>146</v>
      </c>
      <c r="K180" s="887"/>
      <c r="L180" s="838"/>
      <c r="M180" s="886">
        <v>146</v>
      </c>
      <c r="N180" s="887"/>
      <c r="O180" s="838"/>
      <c r="P180" s="886">
        <v>146</v>
      </c>
      <c r="Q180" s="887"/>
      <c r="R180" s="838"/>
      <c r="S180" s="886">
        <v>146.00000000000003</v>
      </c>
      <c r="T180" s="887"/>
      <c r="U180" s="838"/>
      <c r="V180" s="886">
        <v>145.99999999999997</v>
      </c>
      <c r="W180" s="887"/>
      <c r="X180" s="838"/>
      <c r="Y180" s="886">
        <v>145.99999999999997</v>
      </c>
      <c r="Z180" s="887"/>
      <c r="AA180" s="838"/>
      <c r="AB180" s="886">
        <v>146</v>
      </c>
      <c r="AC180" s="887"/>
      <c r="AD180" s="838"/>
      <c r="AE180" s="886">
        <v>146.00000000000003</v>
      </c>
      <c r="AF180" s="887"/>
      <c r="AG180" s="838"/>
      <c r="AH180" s="886">
        <v>146</v>
      </c>
      <c r="AI180" s="887"/>
      <c r="AJ180" s="838"/>
      <c r="AK180" s="886">
        <v>146.00000000000003</v>
      </c>
      <c r="AL180" s="887"/>
      <c r="AM180" s="838"/>
      <c r="AN180" s="886">
        <v>146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2100</v>
      </c>
      <c r="D181" s="882">
        <v>504000.00000000006</v>
      </c>
      <c r="E181" s="834">
        <v>340200.00000000006</v>
      </c>
      <c r="F181" s="881">
        <v>109.20383677762545</v>
      </c>
      <c r="G181" s="882">
        <v>26208.920826630114</v>
      </c>
      <c r="H181" s="834">
        <v>17691.021557975328</v>
      </c>
      <c r="I181" s="881">
        <v>129.20692628917422</v>
      </c>
      <c r="J181" s="882">
        <v>31009.662309401814</v>
      </c>
      <c r="K181" s="834">
        <v>20931.522058846225</v>
      </c>
      <c r="L181" s="881">
        <v>175.63035070484457</v>
      </c>
      <c r="M181" s="882">
        <v>42151.284169162704</v>
      </c>
      <c r="N181" s="834">
        <v>28452.116814184828</v>
      </c>
      <c r="O181" s="881">
        <v>187.4791556782491</v>
      </c>
      <c r="P181" s="882">
        <v>44994.997362779788</v>
      </c>
      <c r="Q181" s="834">
        <v>30371.623219876357</v>
      </c>
      <c r="R181" s="881">
        <v>243.89259071980393</v>
      </c>
      <c r="S181" s="882">
        <v>58534.22177275295</v>
      </c>
      <c r="T181" s="834">
        <v>39510.599696608246</v>
      </c>
      <c r="U181" s="881">
        <v>175.35485044255384</v>
      </c>
      <c r="V181" s="882">
        <v>42085.164106212927</v>
      </c>
      <c r="W181" s="834">
        <v>28407.485771693729</v>
      </c>
      <c r="X181" s="881">
        <v>170.44673785564331</v>
      </c>
      <c r="Y181" s="882">
        <v>40907.217085354401</v>
      </c>
      <c r="Z181" s="834">
        <v>27612.371532614223</v>
      </c>
      <c r="AA181" s="881">
        <v>194.44875962607699</v>
      </c>
      <c r="AB181" s="882">
        <v>46667.702310258486</v>
      </c>
      <c r="AC181" s="834">
        <v>31500.699059424482</v>
      </c>
      <c r="AD181" s="881">
        <v>197.87458321668251</v>
      </c>
      <c r="AE181" s="882">
        <v>47489.899972003805</v>
      </c>
      <c r="AF181" s="834">
        <v>32055.682481102569</v>
      </c>
      <c r="AG181" s="881">
        <v>180.95150336252576</v>
      </c>
      <c r="AH181" s="882">
        <v>43428.360807006189</v>
      </c>
      <c r="AI181" s="834">
        <v>29314.143544729181</v>
      </c>
      <c r="AJ181" s="881">
        <v>216.34458887598535</v>
      </c>
      <c r="AK181" s="882">
        <v>51922.701330236487</v>
      </c>
      <c r="AL181" s="834">
        <v>35047.823397909633</v>
      </c>
      <c r="AM181" s="881">
        <v>119.16611645083479</v>
      </c>
      <c r="AN181" s="882">
        <v>28599.867948200354</v>
      </c>
      <c r="AO181" s="834">
        <v>19304.910865035239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0.67500000000000004</v>
      </c>
      <c r="F182" s="883"/>
      <c r="G182" s="890"/>
      <c r="H182" s="884">
        <v>0.67500000000000004</v>
      </c>
      <c r="I182" s="883"/>
      <c r="J182" s="890"/>
      <c r="K182" s="884">
        <v>0.67500000000000004</v>
      </c>
      <c r="L182" s="883"/>
      <c r="M182" s="890"/>
      <c r="N182" s="884">
        <v>0.67500000000000004</v>
      </c>
      <c r="O182" s="883"/>
      <c r="P182" s="890"/>
      <c r="Q182" s="884">
        <v>0.67500000000000004</v>
      </c>
      <c r="R182" s="883"/>
      <c r="S182" s="890"/>
      <c r="T182" s="884">
        <v>0.67500000000000004</v>
      </c>
      <c r="U182" s="883"/>
      <c r="V182" s="890"/>
      <c r="W182" s="884">
        <v>0.67500000000000004</v>
      </c>
      <c r="X182" s="883"/>
      <c r="Y182" s="890"/>
      <c r="Z182" s="884">
        <v>0.67500000000000004</v>
      </c>
      <c r="AA182" s="883"/>
      <c r="AB182" s="890"/>
      <c r="AC182" s="884">
        <v>0.67500000000000004</v>
      </c>
      <c r="AD182" s="883"/>
      <c r="AE182" s="890"/>
      <c r="AF182" s="884">
        <v>0.67500000000000004</v>
      </c>
      <c r="AG182" s="883"/>
      <c r="AH182" s="890"/>
      <c r="AI182" s="884">
        <v>0.67500000000000004</v>
      </c>
      <c r="AJ182" s="883"/>
      <c r="AK182" s="890"/>
      <c r="AL182" s="884">
        <v>0.67500000000000004</v>
      </c>
      <c r="AM182" s="883"/>
      <c r="AN182" s="890"/>
      <c r="AO182" s="884">
        <v>0.67500000000000004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240.00000000000003</v>
      </c>
      <c r="E183" s="884"/>
      <c r="F183" s="883"/>
      <c r="G183" s="891">
        <v>240.00000000000006</v>
      </c>
      <c r="H183" s="884"/>
      <c r="I183" s="883"/>
      <c r="J183" s="891">
        <v>240</v>
      </c>
      <c r="K183" s="884"/>
      <c r="L183" s="883"/>
      <c r="M183" s="891">
        <v>240.00000000000003</v>
      </c>
      <c r="N183" s="884"/>
      <c r="O183" s="883"/>
      <c r="P183" s="891">
        <v>240.00000000000003</v>
      </c>
      <c r="Q183" s="884"/>
      <c r="R183" s="883"/>
      <c r="S183" s="891">
        <v>240.00000000000003</v>
      </c>
      <c r="T183" s="884"/>
      <c r="U183" s="883"/>
      <c r="V183" s="891">
        <v>240.00000000000003</v>
      </c>
      <c r="W183" s="884"/>
      <c r="X183" s="883"/>
      <c r="Y183" s="891">
        <v>240.00000000000006</v>
      </c>
      <c r="Z183" s="884"/>
      <c r="AA183" s="883"/>
      <c r="AB183" s="891">
        <v>240.00000000000003</v>
      </c>
      <c r="AC183" s="884"/>
      <c r="AD183" s="883"/>
      <c r="AE183" s="891">
        <v>240</v>
      </c>
      <c r="AF183" s="884"/>
      <c r="AG183" s="883"/>
      <c r="AH183" s="891">
        <v>240.00000000000006</v>
      </c>
      <c r="AI183" s="884"/>
      <c r="AJ183" s="883"/>
      <c r="AK183" s="891">
        <v>240</v>
      </c>
      <c r="AL183" s="884"/>
      <c r="AM183" s="883"/>
      <c r="AN183" s="891">
        <v>240.00000000000003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700.00000000000011</v>
      </c>
      <c r="D184" s="889">
        <v>140000</v>
      </c>
      <c r="E184" s="844">
        <v>56000.000000000015</v>
      </c>
      <c r="F184" s="888">
        <v>22.541590062568829</v>
      </c>
      <c r="G184" s="889">
        <v>4508.318012513766</v>
      </c>
      <c r="H184" s="844">
        <v>1803.3272050055066</v>
      </c>
      <c r="I184" s="888">
        <v>23.696980083552372</v>
      </c>
      <c r="J184" s="889">
        <v>4739.3960167104742</v>
      </c>
      <c r="K184" s="844">
        <v>1895.7584066841898</v>
      </c>
      <c r="L184" s="888">
        <v>44.437402977160907</v>
      </c>
      <c r="M184" s="889">
        <v>8887.4805954321819</v>
      </c>
      <c r="N184" s="844">
        <v>3554.9922381728729</v>
      </c>
      <c r="O184" s="888">
        <v>123.16699884474895</v>
      </c>
      <c r="P184" s="889">
        <v>24633.399768949788</v>
      </c>
      <c r="Q184" s="844">
        <v>9853.3599075799157</v>
      </c>
      <c r="R184" s="888">
        <v>102.48187772818552</v>
      </c>
      <c r="S184" s="889">
        <v>20496.375545637104</v>
      </c>
      <c r="T184" s="844">
        <v>8198.5502182548425</v>
      </c>
      <c r="U184" s="888">
        <v>59.560397210779449</v>
      </c>
      <c r="V184" s="889">
        <v>11912.079442155889</v>
      </c>
      <c r="W184" s="844">
        <v>4764.8317768623556</v>
      </c>
      <c r="X184" s="888">
        <v>53.632432599858817</v>
      </c>
      <c r="Y184" s="889">
        <v>10726.486519971762</v>
      </c>
      <c r="Z184" s="844">
        <v>4290.5946079887053</v>
      </c>
      <c r="AA184" s="888">
        <v>38.49669303839535</v>
      </c>
      <c r="AB184" s="889">
        <v>7699.3386076790694</v>
      </c>
      <c r="AC184" s="844">
        <v>3079.7354430716277</v>
      </c>
      <c r="AD184" s="888">
        <v>45.192806264645341</v>
      </c>
      <c r="AE184" s="889">
        <v>9038.5612529290684</v>
      </c>
      <c r="AF184" s="844">
        <v>3615.4245011716275</v>
      </c>
      <c r="AG184" s="888">
        <v>84.918069835115787</v>
      </c>
      <c r="AH184" s="889">
        <v>16983.613967023157</v>
      </c>
      <c r="AI184" s="844">
        <v>6793.4455868092627</v>
      </c>
      <c r="AJ184" s="888">
        <v>67.699534983785327</v>
      </c>
      <c r="AK184" s="889">
        <v>13539.906996757065</v>
      </c>
      <c r="AL184" s="844">
        <v>5415.9627987028261</v>
      </c>
      <c r="AM184" s="888">
        <v>34.175216371203391</v>
      </c>
      <c r="AN184" s="889">
        <v>6835.0432742406792</v>
      </c>
      <c r="AO184" s="844">
        <v>2734.0173096962717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0.40000000000000008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0.40000000000000008</v>
      </c>
      <c r="U185" s="892"/>
      <c r="V185" s="893">
        <v>0</v>
      </c>
      <c r="W185" s="884">
        <v>0.39999999999999997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199.99999999999997</v>
      </c>
      <c r="E186" s="887"/>
      <c r="F186" s="894"/>
      <c r="G186" s="895">
        <v>200</v>
      </c>
      <c r="H186" s="887"/>
      <c r="I186" s="894"/>
      <c r="J186" s="895">
        <v>200</v>
      </c>
      <c r="K186" s="887"/>
      <c r="L186" s="894"/>
      <c r="M186" s="895">
        <v>200</v>
      </c>
      <c r="N186" s="887"/>
      <c r="O186" s="894"/>
      <c r="P186" s="895">
        <v>200</v>
      </c>
      <c r="Q186" s="887"/>
      <c r="R186" s="894"/>
      <c r="S186" s="895">
        <v>200</v>
      </c>
      <c r="T186" s="887"/>
      <c r="U186" s="894"/>
      <c r="V186" s="895">
        <v>200</v>
      </c>
      <c r="W186" s="887"/>
      <c r="X186" s="894"/>
      <c r="Y186" s="895">
        <v>199.99999999999997</v>
      </c>
      <c r="Z186" s="887"/>
      <c r="AA186" s="894"/>
      <c r="AB186" s="895">
        <v>199.99999999999997</v>
      </c>
      <c r="AC186" s="887"/>
      <c r="AD186" s="894"/>
      <c r="AE186" s="895">
        <v>200</v>
      </c>
      <c r="AF186" s="887"/>
      <c r="AG186" s="894"/>
      <c r="AH186" s="895">
        <v>200</v>
      </c>
      <c r="AI186" s="887"/>
      <c r="AJ186" s="894"/>
      <c r="AK186" s="895">
        <v>200</v>
      </c>
      <c r="AL186" s="887"/>
      <c r="AM186" s="894"/>
      <c r="AN186" s="895">
        <v>200.00000000000003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-33326.424536349179</v>
      </c>
      <c r="F187" s="881"/>
      <c r="G187" s="882"/>
      <c r="H187" s="834">
        <v>-1663.9513590734141</v>
      </c>
      <c r="I187" s="881"/>
      <c r="J187" s="882"/>
      <c r="K187" s="834">
        <v>-1704.622875576237</v>
      </c>
      <c r="L187" s="881"/>
      <c r="M187" s="882"/>
      <c r="N187" s="834">
        <v>-2314.4195079561969</v>
      </c>
      <c r="O187" s="881"/>
      <c r="P187" s="882"/>
      <c r="Q187" s="834">
        <v>-3623.3539183866296</v>
      </c>
      <c r="R187" s="881"/>
      <c r="S187" s="882"/>
      <c r="T187" s="834">
        <v>-4086.663475344028</v>
      </c>
      <c r="U187" s="881"/>
      <c r="V187" s="882"/>
      <c r="W187" s="834">
        <v>-2869.5791746708996</v>
      </c>
      <c r="X187" s="881"/>
      <c r="Y187" s="882"/>
      <c r="Z187" s="834">
        <v>-2820.5417995768412</v>
      </c>
      <c r="AA187" s="881"/>
      <c r="AB187" s="882"/>
      <c r="AC187" s="834">
        <v>-2685.248796225108</v>
      </c>
      <c r="AD187" s="881"/>
      <c r="AE187" s="882"/>
      <c r="AF187" s="834">
        <v>-2728.4886475145922</v>
      </c>
      <c r="AG187" s="881"/>
      <c r="AH187" s="882"/>
      <c r="AI187" s="834">
        <v>-3364.9228532932289</v>
      </c>
      <c r="AJ187" s="881"/>
      <c r="AK187" s="882"/>
      <c r="AL187" s="834">
        <v>-3643.3808555769469</v>
      </c>
      <c r="AM187" s="881"/>
      <c r="AN187" s="882"/>
      <c r="AO187" s="834">
        <v>-1821.2512731550603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7100</v>
      </c>
      <c r="D188" s="897">
        <v>1727700</v>
      </c>
      <c r="E188" s="898">
        <v>1171497.5754636507</v>
      </c>
      <c r="F188" s="896">
        <v>376.20064550590592</v>
      </c>
      <c r="G188" s="897">
        <v>85316.768482753861</v>
      </c>
      <c r="H188" s="898">
        <v>57546.199239187132</v>
      </c>
      <c r="I188" s="896">
        <v>377.43117268552407</v>
      </c>
      <c r="J188" s="897">
        <v>87314.99938214029</v>
      </c>
      <c r="K188" s="898">
        <v>58865.641567547384</v>
      </c>
      <c r="L188" s="896">
        <v>496.27816963847988</v>
      </c>
      <c r="M188" s="897">
        <v>117035.95446346434</v>
      </c>
      <c r="N188" s="898">
        <v>78409.376316282171</v>
      </c>
      <c r="O188" s="896">
        <v>724.08220088703229</v>
      </c>
      <c r="P188" s="897">
        <v>183090.25880294805</v>
      </c>
      <c r="Q188" s="898">
        <v>122618.17809228516</v>
      </c>
      <c r="R188" s="896">
        <v>842.77709493024008</v>
      </c>
      <c r="S188" s="897">
        <v>213807.13729876722</v>
      </c>
      <c r="T188" s="898">
        <v>145602.63696986716</v>
      </c>
      <c r="U188" s="896">
        <v>619.40967416168382</v>
      </c>
      <c r="V188" s="897">
        <v>147190.4110639311</v>
      </c>
      <c r="W188" s="898">
        <v>99298.477964113059</v>
      </c>
      <c r="X188" s="896">
        <v>615.06084717476983</v>
      </c>
      <c r="Y188" s="897">
        <v>145623.91241344789</v>
      </c>
      <c r="Z188" s="898">
        <v>98550.390148265433</v>
      </c>
      <c r="AA188" s="896">
        <v>590.48095901426689</v>
      </c>
      <c r="AB188" s="897">
        <v>139566.02972623488</v>
      </c>
      <c r="AC188" s="898">
        <v>94750.484352781757</v>
      </c>
      <c r="AD188" s="896">
        <v>596.95411208680184</v>
      </c>
      <c r="AE188" s="897">
        <v>139331.33597114898</v>
      </c>
      <c r="AF188" s="898">
        <v>93794.137721385327</v>
      </c>
      <c r="AG188" s="896">
        <v>697.43906286217407</v>
      </c>
      <c r="AH188" s="897">
        <v>177369.34583855959</v>
      </c>
      <c r="AI188" s="898">
        <v>121210.35862593105</v>
      </c>
      <c r="AJ188" s="896">
        <v>768.95428414739536</v>
      </c>
      <c r="AK188" s="897">
        <v>198298.9812822557</v>
      </c>
      <c r="AL188" s="898">
        <v>137492.66036502211</v>
      </c>
      <c r="AM188" s="896">
        <v>394.93177690572577</v>
      </c>
      <c r="AN188" s="897">
        <v>93754.865274348107</v>
      </c>
      <c r="AO188" s="898">
        <v>63359.034100983154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243.33802816901408</v>
      </c>
      <c r="E189" s="901">
        <v>0.6780677058885517</v>
      </c>
      <c r="F189" s="899"/>
      <c r="G189" s="900">
        <v>226.78527935012403</v>
      </c>
      <c r="H189" s="901">
        <v>0.67450045591939711</v>
      </c>
      <c r="I189" s="899"/>
      <c r="J189" s="900">
        <v>231.34019047995065</v>
      </c>
      <c r="K189" s="901">
        <v>0.67417559393109228</v>
      </c>
      <c r="L189" s="899"/>
      <c r="M189" s="900">
        <v>235.8273275423754</v>
      </c>
      <c r="N189" s="901">
        <v>0.66995972883495036</v>
      </c>
      <c r="O189" s="899"/>
      <c r="P189" s="900">
        <v>252.85838897663069</v>
      </c>
      <c r="Q189" s="901">
        <v>0.66971437417789481</v>
      </c>
      <c r="R189" s="899"/>
      <c r="S189" s="900">
        <v>253.69357874689851</v>
      </c>
      <c r="T189" s="901">
        <v>0.68099988994477167</v>
      </c>
      <c r="U189" s="899"/>
      <c r="V189" s="900">
        <v>237.63014561104538</v>
      </c>
      <c r="W189" s="901">
        <v>0.67462599802770762</v>
      </c>
      <c r="X189" s="899"/>
      <c r="Y189" s="900">
        <v>236.76342443574333</v>
      </c>
      <c r="Z189" s="901">
        <v>0.67674593076764933</v>
      </c>
      <c r="AA189" s="899"/>
      <c r="AB189" s="900">
        <v>236.35991575278342</v>
      </c>
      <c r="AC189" s="901">
        <v>0.67889359995866583</v>
      </c>
      <c r="AD189" s="899"/>
      <c r="AE189" s="900">
        <v>233.40376278518556</v>
      </c>
      <c r="AF189" s="901">
        <v>0.67317331788742096</v>
      </c>
      <c r="AG189" s="899"/>
      <c r="AH189" s="900">
        <v>254.31518720885126</v>
      </c>
      <c r="AI189" s="901">
        <v>0.68337828080087704</v>
      </c>
      <c r="AJ189" s="899"/>
      <c r="AK189" s="900">
        <v>257.88136612324951</v>
      </c>
      <c r="AL189" s="901">
        <v>0.69336039689138484</v>
      </c>
      <c r="AM189" s="899"/>
      <c r="AN189" s="900">
        <v>237.39509139759181</v>
      </c>
      <c r="AO189" s="901">
        <v>0.67579462586373706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88479.999999999985</v>
      </c>
      <c r="E191" s="834">
        <v>10175.200000000003</v>
      </c>
      <c r="F191" s="881">
        <v>0</v>
      </c>
      <c r="G191" s="903">
        <v>18592.976474536481</v>
      </c>
      <c r="H191" s="834">
        <v>2138.1922945716956</v>
      </c>
      <c r="I191" s="881">
        <v>0</v>
      </c>
      <c r="J191" s="903">
        <v>9379.3146734214915</v>
      </c>
      <c r="K191" s="834">
        <v>1078.6211874434716</v>
      </c>
      <c r="L191" s="881">
        <v>0</v>
      </c>
      <c r="M191" s="903">
        <v>3405.3809748117224</v>
      </c>
      <c r="N191" s="834">
        <v>391.61881210334809</v>
      </c>
      <c r="O191" s="881">
        <v>0</v>
      </c>
      <c r="P191" s="903">
        <v>5200.5727354800792</v>
      </c>
      <c r="Q191" s="834">
        <v>598.06586458020911</v>
      </c>
      <c r="R191" s="881">
        <v>0</v>
      </c>
      <c r="S191" s="903">
        <v>7867.7006065373971</v>
      </c>
      <c r="T191" s="834">
        <v>904.78556975180072</v>
      </c>
      <c r="U191" s="881">
        <v>0</v>
      </c>
      <c r="V191" s="903">
        <v>6925.6374211423772</v>
      </c>
      <c r="W191" s="834">
        <v>796.44830343137346</v>
      </c>
      <c r="X191" s="881">
        <v>0</v>
      </c>
      <c r="Y191" s="903">
        <v>7040.7602222592423</v>
      </c>
      <c r="Z191" s="834">
        <v>809.68742555981294</v>
      </c>
      <c r="AA191" s="881">
        <v>0</v>
      </c>
      <c r="AB191" s="903">
        <v>4051.0023878028755</v>
      </c>
      <c r="AC191" s="834">
        <v>465.86527459733071</v>
      </c>
      <c r="AD191" s="881">
        <v>0</v>
      </c>
      <c r="AE191" s="903">
        <v>3577.070954402187</v>
      </c>
      <c r="AF191" s="834">
        <v>411.36315975625155</v>
      </c>
      <c r="AG191" s="881">
        <v>0</v>
      </c>
      <c r="AH191" s="903">
        <v>5538.1709391603681</v>
      </c>
      <c r="AI191" s="834">
        <v>636.88965800344238</v>
      </c>
      <c r="AJ191" s="881">
        <v>0</v>
      </c>
      <c r="AK191" s="903">
        <v>10165.297149872033</v>
      </c>
      <c r="AL191" s="834">
        <v>1169.0091722352838</v>
      </c>
      <c r="AM191" s="881">
        <v>0</v>
      </c>
      <c r="AN191" s="903">
        <v>6736.1154605737429</v>
      </c>
      <c r="AO191" s="834">
        <v>774.65327796598046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0.11500000000000005</v>
      </c>
      <c r="F192" s="883"/>
      <c r="G192" s="890"/>
      <c r="H192" s="884">
        <v>0.11500000000000002</v>
      </c>
      <c r="I192" s="883"/>
      <c r="J192" s="890"/>
      <c r="K192" s="884">
        <v>0.115</v>
      </c>
      <c r="L192" s="883"/>
      <c r="M192" s="890"/>
      <c r="N192" s="884">
        <v>0.115</v>
      </c>
      <c r="O192" s="883"/>
      <c r="P192" s="890"/>
      <c r="Q192" s="884">
        <v>0.115</v>
      </c>
      <c r="R192" s="883"/>
      <c r="S192" s="890"/>
      <c r="T192" s="884">
        <v>0.115</v>
      </c>
      <c r="U192" s="883"/>
      <c r="V192" s="890"/>
      <c r="W192" s="884">
        <v>0.115</v>
      </c>
      <c r="X192" s="883"/>
      <c r="Y192" s="890"/>
      <c r="Z192" s="884">
        <v>0.115</v>
      </c>
      <c r="AA192" s="883"/>
      <c r="AB192" s="890"/>
      <c r="AC192" s="884">
        <v>0.115</v>
      </c>
      <c r="AD192" s="883"/>
      <c r="AE192" s="890"/>
      <c r="AF192" s="884">
        <v>0.11500000000000002</v>
      </c>
      <c r="AG192" s="883"/>
      <c r="AH192" s="890"/>
      <c r="AI192" s="884">
        <v>0.115</v>
      </c>
      <c r="AJ192" s="883"/>
      <c r="AK192" s="890"/>
      <c r="AL192" s="884">
        <v>0.115</v>
      </c>
      <c r="AM192" s="883"/>
      <c r="AN192" s="890"/>
      <c r="AO192" s="884">
        <v>0.115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1816180</v>
      </c>
      <c r="E197" s="824">
        <v>1181672.7754636507</v>
      </c>
      <c r="F197" s="822"/>
      <c r="G197" s="909">
        <v>103909.74495729034</v>
      </c>
      <c r="H197" s="824">
        <v>59684.391533758826</v>
      </c>
      <c r="I197" s="822"/>
      <c r="J197" s="909">
        <v>96694.314055561787</v>
      </c>
      <c r="K197" s="824">
        <v>59944.262754990858</v>
      </c>
      <c r="L197" s="822"/>
      <c r="M197" s="909">
        <v>120441.33543827606</v>
      </c>
      <c r="N197" s="824">
        <v>78800.995128385519</v>
      </c>
      <c r="O197" s="822"/>
      <c r="P197" s="909">
        <v>188290.83153842814</v>
      </c>
      <c r="Q197" s="824">
        <v>123216.24395686536</v>
      </c>
      <c r="R197" s="822"/>
      <c r="S197" s="909">
        <v>221674.83790530462</v>
      </c>
      <c r="T197" s="824">
        <v>146507.42253961897</v>
      </c>
      <c r="U197" s="822"/>
      <c r="V197" s="909">
        <v>154116.04848507346</v>
      </c>
      <c r="W197" s="824">
        <v>100094.92626754443</v>
      </c>
      <c r="X197" s="822"/>
      <c r="Y197" s="909">
        <v>152664.67263570713</v>
      </c>
      <c r="Z197" s="824">
        <v>99360.077573825241</v>
      </c>
      <c r="AA197" s="822"/>
      <c r="AB197" s="909">
        <v>143617.03211403775</v>
      </c>
      <c r="AC197" s="824">
        <v>95216.349627379095</v>
      </c>
      <c r="AD197" s="822"/>
      <c r="AE197" s="909">
        <v>142908.40692555116</v>
      </c>
      <c r="AF197" s="824">
        <v>94205.500881141576</v>
      </c>
      <c r="AG197" s="822"/>
      <c r="AH197" s="909">
        <v>182907.51677771995</v>
      </c>
      <c r="AI197" s="824">
        <v>121847.2482839345</v>
      </c>
      <c r="AJ197" s="822"/>
      <c r="AK197" s="909">
        <v>208464.27843212773</v>
      </c>
      <c r="AL197" s="824">
        <v>138661.6695372574</v>
      </c>
      <c r="AM197" s="822"/>
      <c r="AN197" s="909">
        <v>100490.98073492185</v>
      </c>
      <c r="AO197" s="824">
        <v>64133.687378949136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0.65063637715625688</v>
      </c>
      <c r="F198" s="825"/>
      <c r="G198" s="826"/>
      <c r="H198" s="910">
        <v>0.57438685426752512</v>
      </c>
      <c r="I198" s="825"/>
      <c r="J198" s="826"/>
      <c r="K198" s="910">
        <v>0.61993575672449697</v>
      </c>
      <c r="L198" s="825"/>
      <c r="M198" s="826"/>
      <c r="N198" s="910">
        <v>0.65426869306650592</v>
      </c>
      <c r="O198" s="825"/>
      <c r="P198" s="826"/>
      <c r="Q198" s="910">
        <v>0.65439322217724794</v>
      </c>
      <c r="R198" s="825"/>
      <c r="S198" s="826"/>
      <c r="T198" s="910">
        <v>0.66091137778210185</v>
      </c>
      <c r="U198" s="825"/>
      <c r="V198" s="826"/>
      <c r="W198" s="910">
        <v>0.64947763228719746</v>
      </c>
      <c r="X198" s="825"/>
      <c r="Y198" s="826"/>
      <c r="Z198" s="910">
        <v>0.65083870327302995</v>
      </c>
      <c r="AA198" s="825"/>
      <c r="AB198" s="826"/>
      <c r="AC198" s="910">
        <v>0.6629878658944397</v>
      </c>
      <c r="AD198" s="825"/>
      <c r="AE198" s="826"/>
      <c r="AF198" s="910">
        <v>0.6592019525500582</v>
      </c>
      <c r="AG198" s="825"/>
      <c r="AH198" s="826"/>
      <c r="AI198" s="910">
        <v>0.66616862133670807</v>
      </c>
      <c r="AJ198" s="825"/>
      <c r="AK198" s="826"/>
      <c r="AL198" s="910">
        <v>0.66515793775384491</v>
      </c>
      <c r="AM198" s="825"/>
      <c r="AN198" s="826"/>
      <c r="AO198" s="910">
        <v>0.6382034179577063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124254.29230769232</v>
      </c>
      <c r="F201" s="812"/>
      <c r="G201" s="820"/>
      <c r="H201" s="834">
        <v>10609.936678455644</v>
      </c>
      <c r="I201" s="812"/>
      <c r="J201" s="820"/>
      <c r="K201" s="834">
        <v>9996.9471117005596</v>
      </c>
      <c r="L201" s="812"/>
      <c r="M201" s="820"/>
      <c r="N201" s="834">
        <v>10201.276967285588</v>
      </c>
      <c r="O201" s="812"/>
      <c r="P201" s="820"/>
      <c r="Q201" s="834">
        <v>10405.606822870617</v>
      </c>
      <c r="R201" s="812"/>
      <c r="S201" s="820"/>
      <c r="T201" s="834">
        <v>10405.606822870617</v>
      </c>
      <c r="U201" s="812"/>
      <c r="V201" s="820"/>
      <c r="W201" s="834">
        <v>10201.276967285588</v>
      </c>
      <c r="X201" s="812"/>
      <c r="Y201" s="820"/>
      <c r="Z201" s="834">
        <v>10609.936678455644</v>
      </c>
      <c r="AA201" s="812"/>
      <c r="AB201" s="820"/>
      <c r="AC201" s="834">
        <v>10201.276967285588</v>
      </c>
      <c r="AD201" s="812"/>
      <c r="AE201" s="820"/>
      <c r="AF201" s="834">
        <v>10405.606822870617</v>
      </c>
      <c r="AG201" s="812"/>
      <c r="AH201" s="820"/>
      <c r="AI201" s="834">
        <v>10609.936678455644</v>
      </c>
      <c r="AJ201" s="812"/>
      <c r="AK201" s="820"/>
      <c r="AL201" s="834">
        <v>9996.9471117005596</v>
      </c>
      <c r="AM201" s="812"/>
      <c r="AN201" s="820"/>
      <c r="AO201" s="834">
        <v>10609.936678455644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67125.25</v>
      </c>
      <c r="F202" s="812"/>
      <c r="G202" s="820"/>
      <c r="H202" s="834">
        <v>5720.6015325670505</v>
      </c>
      <c r="I202" s="812"/>
      <c r="J202" s="820"/>
      <c r="K202" s="834">
        <v>5416.2078544061305</v>
      </c>
      <c r="L202" s="812"/>
      <c r="M202" s="820"/>
      <c r="N202" s="834">
        <v>5517.6724137931033</v>
      </c>
      <c r="O202" s="812"/>
      <c r="P202" s="820"/>
      <c r="Q202" s="834">
        <v>5619.1369731800769</v>
      </c>
      <c r="R202" s="812"/>
      <c r="S202" s="820"/>
      <c r="T202" s="834">
        <v>5619.1369731800769</v>
      </c>
      <c r="U202" s="812"/>
      <c r="V202" s="820"/>
      <c r="W202" s="834">
        <v>5517.6724137931033</v>
      </c>
      <c r="X202" s="812"/>
      <c r="Y202" s="820"/>
      <c r="Z202" s="834">
        <v>5720.6015325670505</v>
      </c>
      <c r="AA202" s="812"/>
      <c r="AB202" s="820"/>
      <c r="AC202" s="834">
        <v>5517.6724137931033</v>
      </c>
      <c r="AD202" s="812"/>
      <c r="AE202" s="820"/>
      <c r="AF202" s="834">
        <v>5619.1369731800769</v>
      </c>
      <c r="AG202" s="812"/>
      <c r="AH202" s="820"/>
      <c r="AI202" s="834">
        <v>5720.6015325670505</v>
      </c>
      <c r="AJ202" s="812"/>
      <c r="AK202" s="820"/>
      <c r="AL202" s="834">
        <v>5416.2078544061305</v>
      </c>
      <c r="AM202" s="812"/>
      <c r="AN202" s="820"/>
      <c r="AO202" s="834">
        <v>5720.6015325670505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69357</v>
      </c>
      <c r="F203" s="842"/>
      <c r="G203" s="843"/>
      <c r="H203" s="844">
        <v>4802.7624521072794</v>
      </c>
      <c r="I203" s="842"/>
      <c r="J203" s="843"/>
      <c r="K203" s="844">
        <v>4331.5325670498078</v>
      </c>
      <c r="L203" s="842"/>
      <c r="M203" s="843"/>
      <c r="N203" s="844">
        <v>7926.7487302860191</v>
      </c>
      <c r="O203" s="842"/>
      <c r="P203" s="843"/>
      <c r="Q203" s="844">
        <v>8247.5462888710681</v>
      </c>
      <c r="R203" s="842"/>
      <c r="S203" s="843"/>
      <c r="T203" s="844">
        <v>4645.6858237547895</v>
      </c>
      <c r="U203" s="842"/>
      <c r="V203" s="843"/>
      <c r="W203" s="844">
        <v>4488.6091954022986</v>
      </c>
      <c r="X203" s="842"/>
      <c r="Y203" s="843"/>
      <c r="Z203" s="844">
        <v>4802.7624521072794</v>
      </c>
      <c r="AA203" s="842"/>
      <c r="AB203" s="843"/>
      <c r="AC203" s="844">
        <v>4488.6091954022986</v>
      </c>
      <c r="AD203" s="842"/>
      <c r="AE203" s="843"/>
      <c r="AF203" s="844">
        <v>4645.6858237547895</v>
      </c>
      <c r="AG203" s="842"/>
      <c r="AH203" s="843"/>
      <c r="AI203" s="844">
        <v>8568.3438474561171</v>
      </c>
      <c r="AJ203" s="842"/>
      <c r="AK203" s="843"/>
      <c r="AL203" s="844">
        <v>7605.9511717009709</v>
      </c>
      <c r="AM203" s="842"/>
      <c r="AN203" s="843"/>
      <c r="AO203" s="844">
        <v>4802.7624521072794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172166.052</v>
      </c>
      <c r="F204" s="812"/>
      <c r="G204" s="820"/>
      <c r="H204" s="834">
        <v>14702.865444444444</v>
      </c>
      <c r="I204" s="812"/>
      <c r="J204" s="820"/>
      <c r="K204" s="834">
        <v>13849.198777777778</v>
      </c>
      <c r="L204" s="812"/>
      <c r="M204" s="820"/>
      <c r="N204" s="834">
        <v>14133.754333333332</v>
      </c>
      <c r="O204" s="812"/>
      <c r="P204" s="820"/>
      <c r="Q204" s="834">
        <v>14418.309888888889</v>
      </c>
      <c r="R204" s="812"/>
      <c r="S204" s="820"/>
      <c r="T204" s="834">
        <v>14418.309888888889</v>
      </c>
      <c r="U204" s="812"/>
      <c r="V204" s="820"/>
      <c r="W204" s="834">
        <v>14133.754333333332</v>
      </c>
      <c r="X204" s="812"/>
      <c r="Y204" s="820"/>
      <c r="Z204" s="834">
        <v>14702.865444444444</v>
      </c>
      <c r="AA204" s="812"/>
      <c r="AB204" s="820"/>
      <c r="AC204" s="834">
        <v>14133.754333333332</v>
      </c>
      <c r="AD204" s="812"/>
      <c r="AE204" s="820"/>
      <c r="AF204" s="834">
        <v>14418.309888888889</v>
      </c>
      <c r="AG204" s="812"/>
      <c r="AH204" s="820"/>
      <c r="AI204" s="834">
        <v>14702.865444444444</v>
      </c>
      <c r="AJ204" s="812"/>
      <c r="AK204" s="820"/>
      <c r="AL204" s="834">
        <v>13849.198777777778</v>
      </c>
      <c r="AM204" s="812"/>
      <c r="AN204" s="820"/>
      <c r="AO204" s="834">
        <v>14702.865444444444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119491.44347568029</v>
      </c>
      <c r="F208" s="812"/>
      <c r="G208" s="820"/>
      <c r="H208" s="834">
        <v>11014.576258217201</v>
      </c>
      <c r="I208" s="812"/>
      <c r="J208" s="820"/>
      <c r="K208" s="834">
        <v>6780.3104684470381</v>
      </c>
      <c r="L208" s="812"/>
      <c r="M208" s="820"/>
      <c r="N208" s="834">
        <v>7640.7112259186915</v>
      </c>
      <c r="O208" s="812"/>
      <c r="P208" s="820"/>
      <c r="Q208" s="834">
        <v>10919.001465817295</v>
      </c>
      <c r="R208" s="812"/>
      <c r="S208" s="820"/>
      <c r="T208" s="834">
        <v>10499.378590832514</v>
      </c>
      <c r="U208" s="812"/>
      <c r="V208" s="820"/>
      <c r="W208" s="834">
        <v>10113.733087016699</v>
      </c>
      <c r="X208" s="812"/>
      <c r="Y208" s="820"/>
      <c r="Z208" s="834">
        <v>10885.024094648328</v>
      </c>
      <c r="AA208" s="812"/>
      <c r="AB208" s="820"/>
      <c r="AC208" s="834">
        <v>8212.1549590293889</v>
      </c>
      <c r="AD208" s="812"/>
      <c r="AE208" s="820"/>
      <c r="AF208" s="834">
        <v>9749.9243480521855</v>
      </c>
      <c r="AG208" s="812"/>
      <c r="AH208" s="820"/>
      <c r="AI208" s="834">
        <v>11323.720736677875</v>
      </c>
      <c r="AJ208" s="812"/>
      <c r="AK208" s="820"/>
      <c r="AL208" s="834">
        <v>8208.8618312749459</v>
      </c>
      <c r="AM208" s="812"/>
      <c r="AN208" s="820"/>
      <c r="AO208" s="834">
        <v>14144.046409748131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138386.34735402188</v>
      </c>
      <c r="F209" s="842"/>
      <c r="G209" s="843"/>
      <c r="H209" s="844">
        <v>13592.12764585231</v>
      </c>
      <c r="I209" s="842"/>
      <c r="J209" s="843"/>
      <c r="K209" s="844">
        <v>11754.994779535898</v>
      </c>
      <c r="L209" s="842"/>
      <c r="M209" s="843"/>
      <c r="N209" s="844">
        <v>11544.118047855416</v>
      </c>
      <c r="O209" s="842"/>
      <c r="P209" s="843"/>
      <c r="Q209" s="844">
        <v>12746.459256205348</v>
      </c>
      <c r="R209" s="842"/>
      <c r="S209" s="843"/>
      <c r="T209" s="844">
        <v>12032.856253535499</v>
      </c>
      <c r="U209" s="842"/>
      <c r="V209" s="843"/>
      <c r="W209" s="844">
        <v>11632.793418454114</v>
      </c>
      <c r="X209" s="842"/>
      <c r="Y209" s="843"/>
      <c r="Z209" s="844">
        <v>12519.93062882879</v>
      </c>
      <c r="AA209" s="842"/>
      <c r="AB209" s="843"/>
      <c r="AC209" s="844">
        <v>11738.025838177879</v>
      </c>
      <c r="AD209" s="842"/>
      <c r="AE209" s="843"/>
      <c r="AF209" s="844">
        <v>10377.450261741044</v>
      </c>
      <c r="AG209" s="842"/>
      <c r="AH209" s="843"/>
      <c r="AI209" s="844">
        <v>11566.550042991483</v>
      </c>
      <c r="AJ209" s="842"/>
      <c r="AK209" s="843"/>
      <c r="AL209" s="844">
        <v>10394.917427647079</v>
      </c>
      <c r="AM209" s="842"/>
      <c r="AN209" s="843"/>
      <c r="AO209" s="844">
        <v>8486.1237531970291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72294.054037369235</v>
      </c>
      <c r="F210" s="812"/>
      <c r="G210" s="820"/>
      <c r="H210" s="834">
        <v>5468.0973287911593</v>
      </c>
      <c r="I210" s="812"/>
      <c r="J210" s="820"/>
      <c r="K210" s="834">
        <v>5158.931878166225</v>
      </c>
      <c r="L210" s="812"/>
      <c r="M210" s="820"/>
      <c r="N210" s="834">
        <v>5813.5846284163963</v>
      </c>
      <c r="O210" s="812"/>
      <c r="P210" s="820"/>
      <c r="Q210" s="834">
        <v>6560.6775583409881</v>
      </c>
      <c r="R210" s="812"/>
      <c r="S210" s="820"/>
      <c r="T210" s="834">
        <v>6308.547325782848</v>
      </c>
      <c r="U210" s="812"/>
      <c r="V210" s="820"/>
      <c r="W210" s="834">
        <v>6076.8323827745371</v>
      </c>
      <c r="X210" s="812"/>
      <c r="Y210" s="820"/>
      <c r="Z210" s="834">
        <v>6540.2622687911589</v>
      </c>
      <c r="AA210" s="812"/>
      <c r="AB210" s="820"/>
      <c r="AC210" s="834">
        <v>6248.378773174536</v>
      </c>
      <c r="AD210" s="812"/>
      <c r="AE210" s="820"/>
      <c r="AF210" s="834">
        <v>5858.2380509828472</v>
      </c>
      <c r="AG210" s="812"/>
      <c r="AH210" s="820"/>
      <c r="AI210" s="834">
        <v>6803.8529664655789</v>
      </c>
      <c r="AJ210" s="812"/>
      <c r="AK210" s="820"/>
      <c r="AL210" s="834">
        <v>6245.8731324918072</v>
      </c>
      <c r="AM210" s="812"/>
      <c r="AN210" s="820"/>
      <c r="AO210" s="834">
        <v>5210.7777431911591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15491.583008007692</v>
      </c>
      <c r="F211" s="812"/>
      <c r="G211" s="820"/>
      <c r="H211" s="834">
        <v>1171.7351418838198</v>
      </c>
      <c r="I211" s="812"/>
      <c r="J211" s="820"/>
      <c r="K211" s="834">
        <v>1105.4854024641909</v>
      </c>
      <c r="L211" s="812"/>
      <c r="M211" s="820"/>
      <c r="N211" s="834">
        <v>1245.7681346606562</v>
      </c>
      <c r="O211" s="812"/>
      <c r="P211" s="820"/>
      <c r="Q211" s="834">
        <v>1405.8594767873542</v>
      </c>
      <c r="R211" s="812"/>
      <c r="S211" s="820"/>
      <c r="T211" s="834">
        <v>1351.8315698106103</v>
      </c>
      <c r="U211" s="812"/>
      <c r="V211" s="820"/>
      <c r="W211" s="834">
        <v>1302.1783677374005</v>
      </c>
      <c r="X211" s="812"/>
      <c r="Y211" s="820"/>
      <c r="Z211" s="834">
        <v>1401.4847718838196</v>
      </c>
      <c r="AA211" s="812"/>
      <c r="AB211" s="820"/>
      <c r="AC211" s="834">
        <v>1338.9383085374004</v>
      </c>
      <c r="AD211" s="812"/>
      <c r="AE211" s="820"/>
      <c r="AF211" s="834">
        <v>1255.33672521061</v>
      </c>
      <c r="AG211" s="812"/>
      <c r="AH211" s="820"/>
      <c r="AI211" s="834">
        <v>1457.9684928140523</v>
      </c>
      <c r="AJ211" s="812"/>
      <c r="AK211" s="820"/>
      <c r="AL211" s="834">
        <v>1338.4013855339585</v>
      </c>
      <c r="AM211" s="812"/>
      <c r="AN211" s="820"/>
      <c r="AO211" s="834">
        <v>1116.5952306838196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0.65886769869711759</v>
      </c>
      <c r="E213" s="841">
        <v>778566.02218277135</v>
      </c>
      <c r="F213" s="839" t="s">
        <v>162</v>
      </c>
      <c r="G213" s="840">
        <v>1.1239572149173278</v>
      </c>
      <c r="H213" s="841">
        <v>67082.702482318913</v>
      </c>
      <c r="I213" s="839" t="s">
        <v>162</v>
      </c>
      <c r="J213" s="840">
        <v>0.97413173764800143</v>
      </c>
      <c r="K213" s="841">
        <v>58393.608839547618</v>
      </c>
      <c r="L213" s="839" t="s">
        <v>162</v>
      </c>
      <c r="M213" s="840">
        <v>0.81247241075115251</v>
      </c>
      <c r="N213" s="841">
        <v>64023.634481549205</v>
      </c>
      <c r="O213" s="839" t="s">
        <v>162</v>
      </c>
      <c r="P213" s="840">
        <v>0.5707250559883944</v>
      </c>
      <c r="Q213" s="841">
        <v>70322.597730961643</v>
      </c>
      <c r="R213" s="839" t="s">
        <v>162</v>
      </c>
      <c r="S213" s="840">
        <v>0.44558393095068116</v>
      </c>
      <c r="T213" s="841">
        <v>65281.353248655847</v>
      </c>
      <c r="U213" s="839" t="s">
        <v>162</v>
      </c>
      <c r="V213" s="840">
        <v>0.63406660589524877</v>
      </c>
      <c r="W213" s="841">
        <v>63466.850165797077</v>
      </c>
      <c r="X213" s="839" t="s">
        <v>162</v>
      </c>
      <c r="Y213" s="840">
        <v>0.67615554971572123</v>
      </c>
      <c r="Z213" s="841">
        <v>67182.867871726514</v>
      </c>
      <c r="AA213" s="839" t="s">
        <v>162</v>
      </c>
      <c r="AB213" s="840">
        <v>0.6498758987389337</v>
      </c>
      <c r="AC213" s="841">
        <v>61878.810788733521</v>
      </c>
      <c r="AD213" s="839" t="s">
        <v>162</v>
      </c>
      <c r="AE213" s="840">
        <v>0.66163534307112282</v>
      </c>
      <c r="AF213" s="841">
        <v>62329.688894681065</v>
      </c>
      <c r="AG213" s="839" t="s">
        <v>162</v>
      </c>
      <c r="AH213" s="840">
        <v>0.5806765498470523</v>
      </c>
      <c r="AI213" s="841">
        <v>70753.839741872245</v>
      </c>
      <c r="AJ213" s="839" t="s">
        <v>162</v>
      </c>
      <c r="AK213" s="840">
        <v>0.45474974376816107</v>
      </c>
      <c r="AL213" s="841">
        <v>63056.358692533227</v>
      </c>
      <c r="AM213" s="839" t="s">
        <v>162</v>
      </c>
      <c r="AN213" s="840">
        <v>1.0102913444153854</v>
      </c>
      <c r="AO213" s="841">
        <v>64793.709244394558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68040.05</v>
      </c>
      <c r="F214" s="812"/>
      <c r="G214" s="820"/>
      <c r="H214" s="834">
        <v>4604.4572585937312</v>
      </c>
      <c r="I214" s="812"/>
      <c r="J214" s="820"/>
      <c r="K214" s="834">
        <v>6517.1869726438581</v>
      </c>
      <c r="L214" s="812"/>
      <c r="M214" s="820"/>
      <c r="N214" s="834">
        <v>6556.4550640381294</v>
      </c>
      <c r="O214" s="812"/>
      <c r="P214" s="820"/>
      <c r="Q214" s="834">
        <v>6712.8869522272007</v>
      </c>
      <c r="R214" s="812"/>
      <c r="S214" s="820"/>
      <c r="T214" s="834">
        <v>4851.9259817094062</v>
      </c>
      <c r="U214" s="812"/>
      <c r="V214" s="820"/>
      <c r="W214" s="834">
        <v>4707.9549009934026</v>
      </c>
      <c r="X214" s="812"/>
      <c r="Y214" s="820"/>
      <c r="Z214" s="834">
        <v>4707.0988956865158</v>
      </c>
      <c r="AA214" s="812"/>
      <c r="AB214" s="820"/>
      <c r="AC214" s="834">
        <v>4684.8111007154885</v>
      </c>
      <c r="AD214" s="812"/>
      <c r="AE214" s="820"/>
      <c r="AF214" s="834">
        <v>4674.1841688179957</v>
      </c>
      <c r="AG214" s="812"/>
      <c r="AH214" s="820"/>
      <c r="AI214" s="834">
        <v>6717.7232526126827</v>
      </c>
      <c r="AJ214" s="812"/>
      <c r="AK214" s="820"/>
      <c r="AL214" s="834">
        <v>6763.8677719094085</v>
      </c>
      <c r="AM214" s="812"/>
      <c r="AN214" s="820"/>
      <c r="AO214" s="834">
        <v>6541.4976800521836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33099.999999999993</v>
      </c>
      <c r="F215" s="812"/>
      <c r="G215" s="820"/>
      <c r="H215" s="834">
        <v>2758.3333333333335</v>
      </c>
      <c r="I215" s="812"/>
      <c r="J215" s="820"/>
      <c r="K215" s="834">
        <v>2758.3333333333335</v>
      </c>
      <c r="L215" s="812"/>
      <c r="M215" s="820"/>
      <c r="N215" s="834">
        <v>2758.3333333333335</v>
      </c>
      <c r="O215" s="812"/>
      <c r="P215" s="820"/>
      <c r="Q215" s="834">
        <v>2758.3333333333335</v>
      </c>
      <c r="R215" s="812"/>
      <c r="S215" s="820"/>
      <c r="T215" s="834">
        <v>2758.3333333333335</v>
      </c>
      <c r="U215" s="812"/>
      <c r="V215" s="820"/>
      <c r="W215" s="834">
        <v>2758.3333333333335</v>
      </c>
      <c r="X215" s="812"/>
      <c r="Y215" s="820"/>
      <c r="Z215" s="834">
        <v>2758.3333333333335</v>
      </c>
      <c r="AA215" s="812"/>
      <c r="AB215" s="820"/>
      <c r="AC215" s="834">
        <v>2758.3333333333335</v>
      </c>
      <c r="AD215" s="812"/>
      <c r="AE215" s="820"/>
      <c r="AF215" s="834">
        <v>2758.3333333333335</v>
      </c>
      <c r="AG215" s="812"/>
      <c r="AH215" s="820"/>
      <c r="AI215" s="834">
        <v>2758.3333333333335</v>
      </c>
      <c r="AJ215" s="812"/>
      <c r="AK215" s="820"/>
      <c r="AL215" s="834">
        <v>2758.3333333333335</v>
      </c>
      <c r="AM215" s="812"/>
      <c r="AN215" s="820"/>
      <c r="AO215" s="834">
        <v>2758.3333333333335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67414.000000000015</v>
      </c>
      <c r="F216" s="838"/>
      <c r="G216" s="845"/>
      <c r="H216" s="837">
        <v>3992.8333333333335</v>
      </c>
      <c r="I216" s="838"/>
      <c r="J216" s="845"/>
      <c r="K216" s="837">
        <v>3992.8333333333335</v>
      </c>
      <c r="L216" s="838"/>
      <c r="M216" s="845"/>
      <c r="N216" s="837">
        <v>6592.8333333333339</v>
      </c>
      <c r="O216" s="838"/>
      <c r="P216" s="845"/>
      <c r="Q216" s="837">
        <v>6592.8333333333339</v>
      </c>
      <c r="R216" s="838"/>
      <c r="S216" s="845"/>
      <c r="T216" s="837">
        <v>6592.8333333333339</v>
      </c>
      <c r="U216" s="838"/>
      <c r="V216" s="845"/>
      <c r="W216" s="837">
        <v>5292.8333333333339</v>
      </c>
      <c r="X216" s="838"/>
      <c r="Y216" s="845"/>
      <c r="Z216" s="837">
        <v>5292.8333333333339</v>
      </c>
      <c r="AA216" s="838"/>
      <c r="AB216" s="845"/>
      <c r="AC216" s="837">
        <v>5942.8333333333339</v>
      </c>
      <c r="AD216" s="838"/>
      <c r="AE216" s="845"/>
      <c r="AF216" s="837">
        <v>5942.8333333333339</v>
      </c>
      <c r="AG216" s="838"/>
      <c r="AH216" s="845"/>
      <c r="AI216" s="837">
        <v>6592.8333333333339</v>
      </c>
      <c r="AJ216" s="838"/>
      <c r="AK216" s="845"/>
      <c r="AL216" s="837">
        <v>6592.8333333333339</v>
      </c>
      <c r="AM216" s="838"/>
      <c r="AN216" s="845"/>
      <c r="AO216" s="837">
        <v>3992.8333333333335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72402</v>
      </c>
      <c r="F217" s="812"/>
      <c r="G217" s="820"/>
      <c r="H217" s="834">
        <v>6033.5</v>
      </c>
      <c r="I217" s="812"/>
      <c r="J217" s="820"/>
      <c r="K217" s="834">
        <v>6033.5</v>
      </c>
      <c r="L217" s="812"/>
      <c r="M217" s="820"/>
      <c r="N217" s="834">
        <v>6033.5</v>
      </c>
      <c r="O217" s="812"/>
      <c r="P217" s="820"/>
      <c r="Q217" s="834">
        <v>6033.5</v>
      </c>
      <c r="R217" s="812"/>
      <c r="S217" s="820"/>
      <c r="T217" s="834">
        <v>6033.5</v>
      </c>
      <c r="U217" s="812"/>
      <c r="V217" s="820"/>
      <c r="W217" s="834">
        <v>6033.5</v>
      </c>
      <c r="X217" s="812"/>
      <c r="Y217" s="820"/>
      <c r="Z217" s="834">
        <v>6033.5</v>
      </c>
      <c r="AA217" s="812"/>
      <c r="AB217" s="820"/>
      <c r="AC217" s="834">
        <v>6033.5</v>
      </c>
      <c r="AD217" s="812"/>
      <c r="AE217" s="820"/>
      <c r="AF217" s="834">
        <v>6033.5</v>
      </c>
      <c r="AG217" s="812"/>
      <c r="AH217" s="820"/>
      <c r="AI217" s="834">
        <v>6033.5</v>
      </c>
      <c r="AJ217" s="812"/>
      <c r="AK217" s="820"/>
      <c r="AL217" s="834">
        <v>6033.5</v>
      </c>
      <c r="AM217" s="812"/>
      <c r="AN217" s="820"/>
      <c r="AO217" s="834">
        <v>6033.5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5499.9999999999991</v>
      </c>
      <c r="F218" s="812"/>
      <c r="G218" s="820"/>
      <c r="H218" s="834">
        <v>458.33333333333331</v>
      </c>
      <c r="I218" s="812"/>
      <c r="J218" s="820"/>
      <c r="K218" s="834">
        <v>458.33333333333331</v>
      </c>
      <c r="L218" s="812"/>
      <c r="M218" s="820"/>
      <c r="N218" s="834">
        <v>458.33333333333331</v>
      </c>
      <c r="O218" s="812"/>
      <c r="P218" s="820"/>
      <c r="Q218" s="834">
        <v>458.33333333333331</v>
      </c>
      <c r="R218" s="812"/>
      <c r="S218" s="820"/>
      <c r="T218" s="834">
        <v>458.33333333333331</v>
      </c>
      <c r="U218" s="812"/>
      <c r="V218" s="820"/>
      <c r="W218" s="834">
        <v>458.33333333333331</v>
      </c>
      <c r="X218" s="812"/>
      <c r="Y218" s="820"/>
      <c r="Z218" s="834">
        <v>458.33333333333331</v>
      </c>
      <c r="AA218" s="812"/>
      <c r="AB218" s="820"/>
      <c r="AC218" s="834">
        <v>458.33333333333331</v>
      </c>
      <c r="AD218" s="812"/>
      <c r="AE218" s="820"/>
      <c r="AF218" s="834">
        <v>458.33333333333331</v>
      </c>
      <c r="AG218" s="812"/>
      <c r="AH218" s="820"/>
      <c r="AI218" s="834">
        <v>458.33333333333331</v>
      </c>
      <c r="AJ218" s="812"/>
      <c r="AK218" s="820"/>
      <c r="AL218" s="834">
        <v>458.33333333333331</v>
      </c>
      <c r="AM218" s="812"/>
      <c r="AN218" s="820"/>
      <c r="AO218" s="834">
        <v>458.33333333333331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67698</v>
      </c>
      <c r="F219" s="838"/>
      <c r="G219" s="845"/>
      <c r="H219" s="837">
        <v>5641.5</v>
      </c>
      <c r="I219" s="838"/>
      <c r="J219" s="845"/>
      <c r="K219" s="837">
        <v>5641.5</v>
      </c>
      <c r="L219" s="838"/>
      <c r="M219" s="845"/>
      <c r="N219" s="837">
        <v>5641.5</v>
      </c>
      <c r="O219" s="838"/>
      <c r="P219" s="845"/>
      <c r="Q219" s="837">
        <v>5641.5</v>
      </c>
      <c r="R219" s="838"/>
      <c r="S219" s="845"/>
      <c r="T219" s="837">
        <v>5641.5</v>
      </c>
      <c r="U219" s="838"/>
      <c r="V219" s="845"/>
      <c r="W219" s="837">
        <v>5641.5</v>
      </c>
      <c r="X219" s="838"/>
      <c r="Y219" s="845"/>
      <c r="Z219" s="837">
        <v>5641.5</v>
      </c>
      <c r="AA219" s="838"/>
      <c r="AB219" s="845"/>
      <c r="AC219" s="837">
        <v>5641.5</v>
      </c>
      <c r="AD219" s="838"/>
      <c r="AE219" s="845"/>
      <c r="AF219" s="837">
        <v>5641.5</v>
      </c>
      <c r="AG219" s="838"/>
      <c r="AH219" s="845"/>
      <c r="AI219" s="837">
        <v>5641.5</v>
      </c>
      <c r="AJ219" s="838"/>
      <c r="AK219" s="845"/>
      <c r="AL219" s="837">
        <v>5641.5</v>
      </c>
      <c r="AM219" s="838"/>
      <c r="AN219" s="845"/>
      <c r="AO219" s="837">
        <v>5641.5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13200</v>
      </c>
      <c r="F221" s="812"/>
      <c r="G221" s="820"/>
      <c r="H221" s="834">
        <v>1100</v>
      </c>
      <c r="I221" s="812"/>
      <c r="J221" s="820"/>
      <c r="K221" s="834">
        <v>1100</v>
      </c>
      <c r="L221" s="812"/>
      <c r="M221" s="820"/>
      <c r="N221" s="834">
        <v>1100</v>
      </c>
      <c r="O221" s="812"/>
      <c r="P221" s="820"/>
      <c r="Q221" s="834">
        <v>1100</v>
      </c>
      <c r="R221" s="812"/>
      <c r="S221" s="820"/>
      <c r="T221" s="834">
        <v>1100</v>
      </c>
      <c r="U221" s="812"/>
      <c r="V221" s="820"/>
      <c r="W221" s="834">
        <v>1100</v>
      </c>
      <c r="X221" s="812"/>
      <c r="Y221" s="820"/>
      <c r="Z221" s="834">
        <v>1100</v>
      </c>
      <c r="AA221" s="812"/>
      <c r="AB221" s="820"/>
      <c r="AC221" s="834">
        <v>1100</v>
      </c>
      <c r="AD221" s="812"/>
      <c r="AE221" s="820"/>
      <c r="AF221" s="834">
        <v>1100</v>
      </c>
      <c r="AG221" s="812"/>
      <c r="AH221" s="820"/>
      <c r="AI221" s="834">
        <v>1100</v>
      </c>
      <c r="AJ221" s="812"/>
      <c r="AK221" s="820"/>
      <c r="AL221" s="834">
        <v>1100</v>
      </c>
      <c r="AM221" s="812"/>
      <c r="AN221" s="820"/>
      <c r="AO221" s="834">
        <v>1100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12000</v>
      </c>
      <c r="F222" s="812"/>
      <c r="G222" s="820"/>
      <c r="H222" s="834">
        <v>1000</v>
      </c>
      <c r="I222" s="812"/>
      <c r="J222" s="820"/>
      <c r="K222" s="834">
        <v>1000</v>
      </c>
      <c r="L222" s="812"/>
      <c r="M222" s="820"/>
      <c r="N222" s="834">
        <v>1000</v>
      </c>
      <c r="O222" s="812"/>
      <c r="P222" s="820"/>
      <c r="Q222" s="834">
        <v>1000</v>
      </c>
      <c r="R222" s="812"/>
      <c r="S222" s="820"/>
      <c r="T222" s="834">
        <v>1000</v>
      </c>
      <c r="U222" s="812"/>
      <c r="V222" s="820"/>
      <c r="W222" s="834">
        <v>1000</v>
      </c>
      <c r="X222" s="812"/>
      <c r="Y222" s="820"/>
      <c r="Z222" s="834">
        <v>1000</v>
      </c>
      <c r="AA222" s="812"/>
      <c r="AB222" s="820"/>
      <c r="AC222" s="834">
        <v>1000</v>
      </c>
      <c r="AD222" s="812"/>
      <c r="AE222" s="820"/>
      <c r="AF222" s="834">
        <v>1000</v>
      </c>
      <c r="AG222" s="812"/>
      <c r="AH222" s="820"/>
      <c r="AI222" s="834">
        <v>1000</v>
      </c>
      <c r="AJ222" s="812"/>
      <c r="AK222" s="820"/>
      <c r="AL222" s="834">
        <v>1000</v>
      </c>
      <c r="AM222" s="812"/>
      <c r="AN222" s="820"/>
      <c r="AO222" s="834">
        <v>1000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1440</v>
      </c>
      <c r="F224" s="812"/>
      <c r="G224" s="820"/>
      <c r="H224" s="834">
        <v>120</v>
      </c>
      <c r="I224" s="812"/>
      <c r="J224" s="820"/>
      <c r="K224" s="834">
        <v>120</v>
      </c>
      <c r="L224" s="812"/>
      <c r="M224" s="820"/>
      <c r="N224" s="834">
        <v>120</v>
      </c>
      <c r="O224" s="812"/>
      <c r="P224" s="820"/>
      <c r="Q224" s="834">
        <v>120</v>
      </c>
      <c r="R224" s="812"/>
      <c r="S224" s="820"/>
      <c r="T224" s="834">
        <v>120</v>
      </c>
      <c r="U224" s="812"/>
      <c r="V224" s="820"/>
      <c r="W224" s="834">
        <v>120</v>
      </c>
      <c r="X224" s="812"/>
      <c r="Y224" s="820"/>
      <c r="Z224" s="834">
        <v>120</v>
      </c>
      <c r="AA224" s="812"/>
      <c r="AB224" s="820"/>
      <c r="AC224" s="834">
        <v>120</v>
      </c>
      <c r="AD224" s="812"/>
      <c r="AE224" s="820"/>
      <c r="AF224" s="834">
        <v>120</v>
      </c>
      <c r="AG224" s="812"/>
      <c r="AH224" s="820"/>
      <c r="AI224" s="834">
        <v>120</v>
      </c>
      <c r="AJ224" s="812"/>
      <c r="AK224" s="820"/>
      <c r="AL224" s="834">
        <v>120</v>
      </c>
      <c r="AM224" s="812"/>
      <c r="AN224" s="820"/>
      <c r="AO224" s="834">
        <v>120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5223</v>
      </c>
      <c r="F226" s="812"/>
      <c r="G226" s="820"/>
      <c r="H226" s="834">
        <v>435.25</v>
      </c>
      <c r="I226" s="812"/>
      <c r="J226" s="820"/>
      <c r="K226" s="834">
        <v>435.25</v>
      </c>
      <c r="L226" s="812"/>
      <c r="M226" s="820"/>
      <c r="N226" s="834">
        <v>435.25</v>
      </c>
      <c r="O226" s="812"/>
      <c r="P226" s="820"/>
      <c r="Q226" s="834">
        <v>435.25</v>
      </c>
      <c r="R226" s="812"/>
      <c r="S226" s="820"/>
      <c r="T226" s="834">
        <v>435.25</v>
      </c>
      <c r="U226" s="812"/>
      <c r="V226" s="820"/>
      <c r="W226" s="834">
        <v>435.25</v>
      </c>
      <c r="X226" s="812"/>
      <c r="Y226" s="820"/>
      <c r="Z226" s="834">
        <v>435.25</v>
      </c>
      <c r="AA226" s="812"/>
      <c r="AB226" s="820"/>
      <c r="AC226" s="834">
        <v>435.25</v>
      </c>
      <c r="AD226" s="812"/>
      <c r="AE226" s="820"/>
      <c r="AF226" s="834">
        <v>435.25</v>
      </c>
      <c r="AG226" s="812"/>
      <c r="AH226" s="820"/>
      <c r="AI226" s="834">
        <v>435.25</v>
      </c>
      <c r="AJ226" s="812"/>
      <c r="AK226" s="820"/>
      <c r="AL226" s="834">
        <v>435.25</v>
      </c>
      <c r="AM226" s="812"/>
      <c r="AN226" s="820"/>
      <c r="AO226" s="834">
        <v>435.25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19724.583400000003</v>
      </c>
      <c r="F227" s="812"/>
      <c r="G227" s="820"/>
      <c r="H227" s="834">
        <v>1643.7152833333334</v>
      </c>
      <c r="I227" s="812"/>
      <c r="J227" s="820"/>
      <c r="K227" s="834">
        <v>1643.7152833333334</v>
      </c>
      <c r="L227" s="812"/>
      <c r="M227" s="820"/>
      <c r="N227" s="834">
        <v>1643.7152833333334</v>
      </c>
      <c r="O227" s="812"/>
      <c r="P227" s="820"/>
      <c r="Q227" s="834">
        <v>1643.7152833333334</v>
      </c>
      <c r="R227" s="812"/>
      <c r="S227" s="820"/>
      <c r="T227" s="834">
        <v>1643.7152833333334</v>
      </c>
      <c r="U227" s="812"/>
      <c r="V227" s="820"/>
      <c r="W227" s="834">
        <v>1643.7152833333334</v>
      </c>
      <c r="X227" s="812"/>
      <c r="Y227" s="820"/>
      <c r="Z227" s="834">
        <v>1643.7152833333334</v>
      </c>
      <c r="AA227" s="812"/>
      <c r="AB227" s="820"/>
      <c r="AC227" s="834">
        <v>1643.7152833333334</v>
      </c>
      <c r="AD227" s="812"/>
      <c r="AE227" s="820"/>
      <c r="AF227" s="834">
        <v>1643.7152833333334</v>
      </c>
      <c r="AG227" s="812"/>
      <c r="AH227" s="820"/>
      <c r="AI227" s="834">
        <v>1643.7152833333334</v>
      </c>
      <c r="AJ227" s="812"/>
      <c r="AK227" s="820"/>
      <c r="AL227" s="834">
        <v>1643.7152833333334</v>
      </c>
      <c r="AM227" s="812"/>
      <c r="AN227" s="820"/>
      <c r="AO227" s="834">
        <v>1643.7152833333334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19631.58775147059</v>
      </c>
      <c r="F228" s="812"/>
      <c r="G228" s="820"/>
      <c r="H228" s="834">
        <v>1098.9736298069524</v>
      </c>
      <c r="I228" s="812"/>
      <c r="J228" s="820"/>
      <c r="K228" s="834">
        <v>1069.2130546377552</v>
      </c>
      <c r="L228" s="812"/>
      <c r="M228" s="820"/>
      <c r="N228" s="834">
        <v>1714.5035562209277</v>
      </c>
      <c r="O228" s="812"/>
      <c r="P228" s="820"/>
      <c r="Q228" s="834">
        <v>2268.5539150202549</v>
      </c>
      <c r="R228" s="812"/>
      <c r="S228" s="820"/>
      <c r="T228" s="834">
        <v>2351.0646933385674</v>
      </c>
      <c r="U228" s="812"/>
      <c r="V228" s="820"/>
      <c r="W228" s="834">
        <v>1644.5242639665751</v>
      </c>
      <c r="X228" s="812"/>
      <c r="Y228" s="820"/>
      <c r="Z228" s="834">
        <v>1493.1292051216215</v>
      </c>
      <c r="AA228" s="812"/>
      <c r="AB228" s="820"/>
      <c r="AC228" s="834">
        <v>1745.9094681098122</v>
      </c>
      <c r="AD228" s="812"/>
      <c r="AE228" s="820"/>
      <c r="AF228" s="834">
        <v>1734.4611668476182</v>
      </c>
      <c r="AG228" s="812"/>
      <c r="AH228" s="820"/>
      <c r="AI228" s="834">
        <v>1726.0352369539503</v>
      </c>
      <c r="AJ228" s="812"/>
      <c r="AK228" s="820"/>
      <c r="AL228" s="834">
        <v>1594.9048804151323</v>
      </c>
      <c r="AM228" s="812"/>
      <c r="AN228" s="820"/>
      <c r="AO228" s="834">
        <v>1190.3146810314208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0.33126617561099242</v>
      </c>
      <c r="E232" s="841">
        <v>391448.22115147056</v>
      </c>
      <c r="F232" s="839" t="s">
        <v>162</v>
      </c>
      <c r="G232" s="840">
        <v>0.49247626416880863</v>
      </c>
      <c r="H232" s="841">
        <v>29393.146171734017</v>
      </c>
      <c r="I232" s="839" t="s">
        <v>162</v>
      </c>
      <c r="J232" s="840">
        <v>0.52175327334409416</v>
      </c>
      <c r="K232" s="841">
        <v>31276.115310614947</v>
      </c>
      <c r="L232" s="839" t="s">
        <v>162</v>
      </c>
      <c r="M232" s="840">
        <v>0.43858169363578287</v>
      </c>
      <c r="N232" s="841">
        <v>34560.673903592397</v>
      </c>
      <c r="O232" s="839" t="s">
        <v>162</v>
      </c>
      <c r="P232" s="840">
        <v>0.28625410918164534</v>
      </c>
      <c r="Q232" s="841">
        <v>35271.156150580784</v>
      </c>
      <c r="R232" s="839" t="s">
        <v>162</v>
      </c>
      <c r="S232" s="840">
        <v>0.22860757071420126</v>
      </c>
      <c r="T232" s="841">
        <v>33492.70595838131</v>
      </c>
      <c r="U232" s="839" t="s">
        <v>162</v>
      </c>
      <c r="V232" s="840">
        <v>0.31312470688592686</v>
      </c>
      <c r="W232" s="841">
        <v>31342.19444829331</v>
      </c>
      <c r="X232" s="839" t="s">
        <v>162</v>
      </c>
      <c r="Y232" s="840">
        <v>0.31390820282891913</v>
      </c>
      <c r="Z232" s="841">
        <v>31189.943384141472</v>
      </c>
      <c r="AA232" s="839" t="s">
        <v>162</v>
      </c>
      <c r="AB232" s="840">
        <v>0.33681648138857972</v>
      </c>
      <c r="AC232" s="841">
        <v>32070.435852158633</v>
      </c>
      <c r="AD232" s="839" t="s">
        <v>162</v>
      </c>
      <c r="AE232" s="840">
        <v>0.34019627643012207</v>
      </c>
      <c r="AF232" s="841">
        <v>32048.360618998948</v>
      </c>
      <c r="AG232" s="839" t="s">
        <v>162</v>
      </c>
      <c r="AH232" s="840">
        <v>0.28505751473321989</v>
      </c>
      <c r="AI232" s="841">
        <v>34733.473772899961</v>
      </c>
      <c r="AJ232" s="839" t="s">
        <v>162</v>
      </c>
      <c r="AK232" s="840">
        <v>0.24987790823006117</v>
      </c>
      <c r="AL232" s="841">
        <v>34648.487935657875</v>
      </c>
      <c r="AM232" s="839" t="s">
        <v>162</v>
      </c>
      <c r="AN232" s="840">
        <v>0.48993795505247306</v>
      </c>
      <c r="AO232" s="841">
        <v>31421.527644416939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0.99013387430811006</v>
      </c>
      <c r="E234" s="850">
        <v>1170014.2433342419</v>
      </c>
      <c r="F234" s="839" t="s">
        <v>108</v>
      </c>
      <c r="G234" s="877">
        <v>1.6164334790861365</v>
      </c>
      <c r="H234" s="850">
        <v>96475.848654052927</v>
      </c>
      <c r="I234" s="839" t="s">
        <v>108</v>
      </c>
      <c r="J234" s="877">
        <v>1.4958850109920956</v>
      </c>
      <c r="K234" s="850">
        <v>89669.724150162569</v>
      </c>
      <c r="L234" s="839" t="s">
        <v>108</v>
      </c>
      <c r="M234" s="877">
        <v>1.2510541043869354</v>
      </c>
      <c r="N234" s="850">
        <v>98584.308385141601</v>
      </c>
      <c r="O234" s="839" t="s">
        <v>108</v>
      </c>
      <c r="P234" s="877">
        <v>0.85697916517003958</v>
      </c>
      <c r="Q234" s="850">
        <v>105593.75388154242</v>
      </c>
      <c r="R234" s="839" t="s">
        <v>108</v>
      </c>
      <c r="S234" s="877">
        <v>0.6741915016648824</v>
      </c>
      <c r="T234" s="850">
        <v>98774.059207037149</v>
      </c>
      <c r="U234" s="839" t="s">
        <v>108</v>
      </c>
      <c r="V234" s="877">
        <v>0.94719131278117552</v>
      </c>
      <c r="W234" s="850">
        <v>94809.04461409038</v>
      </c>
      <c r="X234" s="839" t="s">
        <v>108</v>
      </c>
      <c r="Y234" s="877">
        <v>0.99006375254464041</v>
      </c>
      <c r="Z234" s="850">
        <v>98372.811255867986</v>
      </c>
      <c r="AA234" s="839" t="s">
        <v>108</v>
      </c>
      <c r="AB234" s="877">
        <v>0.98669238012751337</v>
      </c>
      <c r="AC234" s="850">
        <v>93949.246640892146</v>
      </c>
      <c r="AD234" s="839" t="s">
        <v>108</v>
      </c>
      <c r="AE234" s="877">
        <v>1.0018316195012449</v>
      </c>
      <c r="AF234" s="850">
        <v>94378.049513680016</v>
      </c>
      <c r="AG234" s="839" t="s">
        <v>108</v>
      </c>
      <c r="AH234" s="877">
        <v>0.86573406458027213</v>
      </c>
      <c r="AI234" s="850">
        <v>105487.31351477221</v>
      </c>
      <c r="AJ234" s="839" t="s">
        <v>108</v>
      </c>
      <c r="AK234" s="877">
        <v>0.70462765199822219</v>
      </c>
      <c r="AL234" s="850">
        <v>97704.846628191095</v>
      </c>
      <c r="AM234" s="839" t="s">
        <v>108</v>
      </c>
      <c r="AN234" s="877">
        <v>1.5002292994678585</v>
      </c>
      <c r="AO234" s="850">
        <v>96215.236888811502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11658.532129408792</v>
      </c>
      <c r="F236" s="878"/>
      <c r="G236" s="879"/>
      <c r="H236" s="859">
        <v>-36791.457120294101</v>
      </c>
      <c r="I236" s="878"/>
      <c r="J236" s="879"/>
      <c r="K236" s="859">
        <v>-29725.461395171711</v>
      </c>
      <c r="L236" s="878"/>
      <c r="M236" s="879"/>
      <c r="N236" s="859">
        <v>-19783.313256756082</v>
      </c>
      <c r="O236" s="878"/>
      <c r="P236" s="879"/>
      <c r="Q236" s="859">
        <v>17622.490075322945</v>
      </c>
      <c r="R236" s="878"/>
      <c r="S236" s="879"/>
      <c r="T236" s="859">
        <v>47733.363332581823</v>
      </c>
      <c r="U236" s="878"/>
      <c r="V236" s="879"/>
      <c r="W236" s="859">
        <v>5285.8816534540529</v>
      </c>
      <c r="X236" s="878"/>
      <c r="Y236" s="879"/>
      <c r="Z236" s="859">
        <v>987.26631795725552</v>
      </c>
      <c r="AA236" s="878"/>
      <c r="AB236" s="879"/>
      <c r="AC236" s="859">
        <v>1267.1029864869488</v>
      </c>
      <c r="AD236" s="878"/>
      <c r="AE236" s="879"/>
      <c r="AF236" s="859">
        <v>-172.54863253844087</v>
      </c>
      <c r="AG236" s="878"/>
      <c r="AH236" s="879"/>
      <c r="AI236" s="859">
        <v>16359.934769162297</v>
      </c>
      <c r="AJ236" s="878"/>
      <c r="AK236" s="879"/>
      <c r="AL236" s="859">
        <v>40956.822909066308</v>
      </c>
      <c r="AM236" s="878"/>
      <c r="AN236" s="879"/>
      <c r="AO236" s="859">
        <v>-32081.549509862365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2938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2025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0</v>
      </c>
      <c r="E244" s="834">
        <v>0</v>
      </c>
      <c r="F244" s="881">
        <v>0</v>
      </c>
      <c r="G244" s="882">
        <v>0</v>
      </c>
      <c r="H244" s="834">
        <v>0</v>
      </c>
      <c r="I244" s="881">
        <v>0</v>
      </c>
      <c r="J244" s="882">
        <v>0</v>
      </c>
      <c r="K244" s="834">
        <v>0</v>
      </c>
      <c r="L244" s="881">
        <v>0</v>
      </c>
      <c r="M244" s="882">
        <v>0</v>
      </c>
      <c r="N244" s="834">
        <v>0</v>
      </c>
      <c r="O244" s="881">
        <v>0</v>
      </c>
      <c r="P244" s="882">
        <v>0</v>
      </c>
      <c r="Q244" s="834">
        <v>0</v>
      </c>
      <c r="R244" s="881">
        <v>0</v>
      </c>
      <c r="S244" s="882">
        <v>0</v>
      </c>
      <c r="T244" s="834">
        <v>0</v>
      </c>
      <c r="U244" s="881">
        <v>0</v>
      </c>
      <c r="V244" s="882">
        <v>0</v>
      </c>
      <c r="W244" s="834">
        <v>0</v>
      </c>
      <c r="X244" s="881">
        <v>0</v>
      </c>
      <c r="Y244" s="882">
        <v>0</v>
      </c>
      <c r="Z244" s="834">
        <v>0</v>
      </c>
      <c r="AA244" s="881">
        <v>0</v>
      </c>
      <c r="AB244" s="882">
        <v>0</v>
      </c>
      <c r="AC244" s="834">
        <v>0</v>
      </c>
      <c r="AD244" s="881">
        <v>0</v>
      </c>
      <c r="AE244" s="882">
        <v>0</v>
      </c>
      <c r="AF244" s="834">
        <v>0</v>
      </c>
      <c r="AG244" s="881">
        <v>0</v>
      </c>
      <c r="AH244" s="882">
        <v>0</v>
      </c>
      <c r="AI244" s="834">
        <v>0</v>
      </c>
      <c r="AJ244" s="881">
        <v>0</v>
      </c>
      <c r="AK244" s="882">
        <v>0</v>
      </c>
      <c r="AL244" s="834">
        <v>0</v>
      </c>
      <c r="AM244" s="881">
        <v>0</v>
      </c>
      <c r="AN244" s="882">
        <v>0</v>
      </c>
      <c r="AO244" s="834">
        <v>0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</v>
      </c>
      <c r="F245" s="883"/>
      <c r="G245" s="820"/>
      <c r="H245" s="884">
        <v>0</v>
      </c>
      <c r="I245" s="883"/>
      <c r="J245" s="820"/>
      <c r="K245" s="884">
        <v>0</v>
      </c>
      <c r="L245" s="883"/>
      <c r="M245" s="820"/>
      <c r="N245" s="884">
        <v>0</v>
      </c>
      <c r="O245" s="883"/>
      <c r="P245" s="820"/>
      <c r="Q245" s="884">
        <v>0</v>
      </c>
      <c r="R245" s="883"/>
      <c r="S245" s="820"/>
      <c r="T245" s="884">
        <v>0</v>
      </c>
      <c r="U245" s="883"/>
      <c r="V245" s="820"/>
      <c r="W245" s="884">
        <v>0</v>
      </c>
      <c r="X245" s="883"/>
      <c r="Y245" s="820"/>
      <c r="Z245" s="884">
        <v>0</v>
      </c>
      <c r="AA245" s="883"/>
      <c r="AB245" s="820"/>
      <c r="AC245" s="884">
        <v>0</v>
      </c>
      <c r="AD245" s="883"/>
      <c r="AE245" s="820"/>
      <c r="AF245" s="884">
        <v>0</v>
      </c>
      <c r="AG245" s="883"/>
      <c r="AH245" s="820"/>
      <c r="AI245" s="884">
        <v>0</v>
      </c>
      <c r="AJ245" s="883"/>
      <c r="AK245" s="820"/>
      <c r="AL245" s="884">
        <v>0</v>
      </c>
      <c r="AM245" s="883"/>
      <c r="AN245" s="820"/>
      <c r="AO245" s="884">
        <v>0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0</v>
      </c>
      <c r="E253" s="824">
        <v>0</v>
      </c>
      <c r="F253" s="822"/>
      <c r="G253" s="909">
        <v>0</v>
      </c>
      <c r="H253" s="824">
        <v>0</v>
      </c>
      <c r="I253" s="822"/>
      <c r="J253" s="909">
        <v>0</v>
      </c>
      <c r="K253" s="824">
        <v>0</v>
      </c>
      <c r="L253" s="822"/>
      <c r="M253" s="909">
        <v>0</v>
      </c>
      <c r="N253" s="824">
        <v>0</v>
      </c>
      <c r="O253" s="822"/>
      <c r="P253" s="909">
        <v>0</v>
      </c>
      <c r="Q253" s="824">
        <v>0</v>
      </c>
      <c r="R253" s="822"/>
      <c r="S253" s="909">
        <v>0</v>
      </c>
      <c r="T253" s="824">
        <v>0</v>
      </c>
      <c r="U253" s="822"/>
      <c r="V253" s="909">
        <v>0</v>
      </c>
      <c r="W253" s="824">
        <v>0</v>
      </c>
      <c r="X253" s="822"/>
      <c r="Y253" s="909">
        <v>0</v>
      </c>
      <c r="Z253" s="824">
        <v>0</v>
      </c>
      <c r="AA253" s="822"/>
      <c r="AB253" s="909">
        <v>0</v>
      </c>
      <c r="AC253" s="824">
        <v>0</v>
      </c>
      <c r="AD253" s="822"/>
      <c r="AE253" s="909">
        <v>0</v>
      </c>
      <c r="AF253" s="824">
        <v>0</v>
      </c>
      <c r="AG253" s="822"/>
      <c r="AH253" s="909">
        <v>0</v>
      </c>
      <c r="AI253" s="824">
        <v>0</v>
      </c>
      <c r="AJ253" s="822"/>
      <c r="AK253" s="909">
        <v>0</v>
      </c>
      <c r="AL253" s="824">
        <v>0</v>
      </c>
      <c r="AM253" s="822"/>
      <c r="AN253" s="909">
        <v>0</v>
      </c>
      <c r="AO253" s="824">
        <v>0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</v>
      </c>
      <c r="F254" s="825"/>
      <c r="G254" s="826"/>
      <c r="H254" s="910">
        <v>0</v>
      </c>
      <c r="I254" s="825"/>
      <c r="J254" s="826"/>
      <c r="K254" s="910">
        <v>0</v>
      </c>
      <c r="L254" s="825"/>
      <c r="M254" s="826"/>
      <c r="N254" s="910">
        <v>0</v>
      </c>
      <c r="O254" s="825"/>
      <c r="P254" s="826"/>
      <c r="Q254" s="910">
        <v>0</v>
      </c>
      <c r="R254" s="825"/>
      <c r="S254" s="826"/>
      <c r="T254" s="910">
        <v>0</v>
      </c>
      <c r="U254" s="825"/>
      <c r="V254" s="826"/>
      <c r="W254" s="910">
        <v>0</v>
      </c>
      <c r="X254" s="825"/>
      <c r="Y254" s="826"/>
      <c r="Z254" s="910">
        <v>0</v>
      </c>
      <c r="AA254" s="825"/>
      <c r="AB254" s="826"/>
      <c r="AC254" s="910">
        <v>0</v>
      </c>
      <c r="AD254" s="825"/>
      <c r="AE254" s="826"/>
      <c r="AF254" s="910">
        <v>0</v>
      </c>
      <c r="AG254" s="825"/>
      <c r="AH254" s="826"/>
      <c r="AI254" s="910">
        <v>0</v>
      </c>
      <c r="AJ254" s="825"/>
      <c r="AK254" s="826"/>
      <c r="AL254" s="910">
        <v>0</v>
      </c>
      <c r="AM254" s="825"/>
      <c r="AN254" s="826"/>
      <c r="AO254" s="910">
        <v>0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0</v>
      </c>
      <c r="F257" s="812"/>
      <c r="G257" s="820"/>
      <c r="H257" s="834">
        <v>0</v>
      </c>
      <c r="I257" s="812"/>
      <c r="J257" s="820"/>
      <c r="K257" s="834">
        <v>0</v>
      </c>
      <c r="L257" s="812"/>
      <c r="M257" s="820"/>
      <c r="N257" s="834">
        <v>0</v>
      </c>
      <c r="O257" s="812"/>
      <c r="P257" s="820"/>
      <c r="Q257" s="834">
        <v>0</v>
      </c>
      <c r="R257" s="812"/>
      <c r="S257" s="820"/>
      <c r="T257" s="834">
        <v>0</v>
      </c>
      <c r="U257" s="812"/>
      <c r="V257" s="820"/>
      <c r="W257" s="834">
        <v>0</v>
      </c>
      <c r="X257" s="812"/>
      <c r="Y257" s="820"/>
      <c r="Z257" s="834">
        <v>0</v>
      </c>
      <c r="AA257" s="812"/>
      <c r="AB257" s="820"/>
      <c r="AC257" s="834">
        <v>0</v>
      </c>
      <c r="AD257" s="812"/>
      <c r="AE257" s="820"/>
      <c r="AF257" s="834">
        <v>0</v>
      </c>
      <c r="AG257" s="812"/>
      <c r="AH257" s="820"/>
      <c r="AI257" s="834">
        <v>0</v>
      </c>
      <c r="AJ257" s="812"/>
      <c r="AK257" s="820"/>
      <c r="AL257" s="834">
        <v>0</v>
      </c>
      <c r="AM257" s="812"/>
      <c r="AN257" s="820"/>
      <c r="AO257" s="834">
        <v>0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0</v>
      </c>
      <c r="F258" s="812"/>
      <c r="G258" s="820"/>
      <c r="H258" s="834">
        <v>0</v>
      </c>
      <c r="I258" s="812"/>
      <c r="J258" s="820"/>
      <c r="K258" s="834">
        <v>0</v>
      </c>
      <c r="L258" s="812"/>
      <c r="M258" s="820"/>
      <c r="N258" s="834">
        <v>0</v>
      </c>
      <c r="O258" s="812"/>
      <c r="P258" s="820"/>
      <c r="Q258" s="834">
        <v>0</v>
      </c>
      <c r="R258" s="812"/>
      <c r="S258" s="820"/>
      <c r="T258" s="834">
        <v>0</v>
      </c>
      <c r="U258" s="812"/>
      <c r="V258" s="820"/>
      <c r="W258" s="834">
        <v>0</v>
      </c>
      <c r="X258" s="812"/>
      <c r="Y258" s="820"/>
      <c r="Z258" s="834">
        <v>0</v>
      </c>
      <c r="AA258" s="812"/>
      <c r="AB258" s="820"/>
      <c r="AC258" s="834">
        <v>0</v>
      </c>
      <c r="AD258" s="812"/>
      <c r="AE258" s="820"/>
      <c r="AF258" s="834">
        <v>0</v>
      </c>
      <c r="AG258" s="812"/>
      <c r="AH258" s="820"/>
      <c r="AI258" s="834">
        <v>0</v>
      </c>
      <c r="AJ258" s="812"/>
      <c r="AK258" s="820"/>
      <c r="AL258" s="834">
        <v>0</v>
      </c>
      <c r="AM258" s="812"/>
      <c r="AN258" s="820"/>
      <c r="AO258" s="834">
        <v>0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0</v>
      </c>
      <c r="F259" s="842"/>
      <c r="G259" s="843"/>
      <c r="H259" s="844">
        <v>0</v>
      </c>
      <c r="I259" s="842"/>
      <c r="J259" s="843"/>
      <c r="K259" s="844">
        <v>0</v>
      </c>
      <c r="L259" s="842"/>
      <c r="M259" s="843"/>
      <c r="N259" s="844">
        <v>0</v>
      </c>
      <c r="O259" s="842"/>
      <c r="P259" s="843"/>
      <c r="Q259" s="844">
        <v>0</v>
      </c>
      <c r="R259" s="842"/>
      <c r="S259" s="843"/>
      <c r="T259" s="844">
        <v>0</v>
      </c>
      <c r="U259" s="842"/>
      <c r="V259" s="843"/>
      <c r="W259" s="844">
        <v>0</v>
      </c>
      <c r="X259" s="842"/>
      <c r="Y259" s="843"/>
      <c r="Z259" s="844">
        <v>0</v>
      </c>
      <c r="AA259" s="842"/>
      <c r="AB259" s="843"/>
      <c r="AC259" s="844">
        <v>0</v>
      </c>
      <c r="AD259" s="842"/>
      <c r="AE259" s="843"/>
      <c r="AF259" s="844">
        <v>0</v>
      </c>
      <c r="AG259" s="842"/>
      <c r="AH259" s="843"/>
      <c r="AI259" s="844">
        <v>0</v>
      </c>
      <c r="AJ259" s="842"/>
      <c r="AK259" s="843"/>
      <c r="AL259" s="844">
        <v>0</v>
      </c>
      <c r="AM259" s="842"/>
      <c r="AN259" s="843"/>
      <c r="AO259" s="844">
        <v>0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0</v>
      </c>
      <c r="F264" s="812"/>
      <c r="G264" s="820"/>
      <c r="H264" s="834">
        <v>0</v>
      </c>
      <c r="I264" s="812"/>
      <c r="J264" s="820"/>
      <c r="K264" s="834">
        <v>0</v>
      </c>
      <c r="L264" s="812"/>
      <c r="M264" s="820"/>
      <c r="N264" s="834">
        <v>0</v>
      </c>
      <c r="O264" s="812"/>
      <c r="P264" s="820"/>
      <c r="Q264" s="834">
        <v>0</v>
      </c>
      <c r="R264" s="812"/>
      <c r="S264" s="820"/>
      <c r="T264" s="834">
        <v>0</v>
      </c>
      <c r="U264" s="812"/>
      <c r="V264" s="820"/>
      <c r="W264" s="834">
        <v>0</v>
      </c>
      <c r="X264" s="812"/>
      <c r="Y264" s="820"/>
      <c r="Z264" s="834">
        <v>0</v>
      </c>
      <c r="AA264" s="812"/>
      <c r="AB264" s="820"/>
      <c r="AC264" s="834">
        <v>0</v>
      </c>
      <c r="AD264" s="812"/>
      <c r="AE264" s="820"/>
      <c r="AF264" s="834">
        <v>0</v>
      </c>
      <c r="AG264" s="812"/>
      <c r="AH264" s="820"/>
      <c r="AI264" s="834">
        <v>0</v>
      </c>
      <c r="AJ264" s="812"/>
      <c r="AK264" s="820"/>
      <c r="AL264" s="834">
        <v>0</v>
      </c>
      <c r="AM264" s="812"/>
      <c r="AN264" s="820"/>
      <c r="AO264" s="834">
        <v>0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0</v>
      </c>
      <c r="F265" s="842"/>
      <c r="G265" s="843"/>
      <c r="H265" s="844">
        <v>0</v>
      </c>
      <c r="I265" s="842"/>
      <c r="J265" s="843"/>
      <c r="K265" s="844">
        <v>0</v>
      </c>
      <c r="L265" s="842"/>
      <c r="M265" s="843"/>
      <c r="N265" s="844">
        <v>0</v>
      </c>
      <c r="O265" s="842"/>
      <c r="P265" s="843"/>
      <c r="Q265" s="844">
        <v>0</v>
      </c>
      <c r="R265" s="842"/>
      <c r="S265" s="843"/>
      <c r="T265" s="844">
        <v>0</v>
      </c>
      <c r="U265" s="842"/>
      <c r="V265" s="843"/>
      <c r="W265" s="844">
        <v>0</v>
      </c>
      <c r="X265" s="842"/>
      <c r="Y265" s="843"/>
      <c r="Z265" s="844">
        <v>0</v>
      </c>
      <c r="AA265" s="842"/>
      <c r="AB265" s="843"/>
      <c r="AC265" s="844">
        <v>0</v>
      </c>
      <c r="AD265" s="842"/>
      <c r="AE265" s="843"/>
      <c r="AF265" s="844">
        <v>0</v>
      </c>
      <c r="AG265" s="842"/>
      <c r="AH265" s="843"/>
      <c r="AI265" s="844">
        <v>0</v>
      </c>
      <c r="AJ265" s="842"/>
      <c r="AK265" s="843"/>
      <c r="AL265" s="844">
        <v>0</v>
      </c>
      <c r="AM265" s="842"/>
      <c r="AN265" s="843"/>
      <c r="AO265" s="844">
        <v>0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0</v>
      </c>
      <c r="F266" s="812"/>
      <c r="G266" s="820"/>
      <c r="H266" s="834">
        <v>0</v>
      </c>
      <c r="I266" s="812"/>
      <c r="J266" s="820"/>
      <c r="K266" s="834">
        <v>0</v>
      </c>
      <c r="L266" s="812"/>
      <c r="M266" s="820"/>
      <c r="N266" s="834">
        <v>0</v>
      </c>
      <c r="O266" s="812"/>
      <c r="P266" s="820"/>
      <c r="Q266" s="834">
        <v>0</v>
      </c>
      <c r="R266" s="812"/>
      <c r="S266" s="820"/>
      <c r="T266" s="834">
        <v>0</v>
      </c>
      <c r="U266" s="812"/>
      <c r="V266" s="820"/>
      <c r="W266" s="834">
        <v>0</v>
      </c>
      <c r="X266" s="812"/>
      <c r="Y266" s="820"/>
      <c r="Z266" s="834">
        <v>0</v>
      </c>
      <c r="AA266" s="812"/>
      <c r="AB266" s="820"/>
      <c r="AC266" s="834">
        <v>0</v>
      </c>
      <c r="AD266" s="812"/>
      <c r="AE266" s="820"/>
      <c r="AF266" s="834">
        <v>0</v>
      </c>
      <c r="AG266" s="812"/>
      <c r="AH266" s="820"/>
      <c r="AI266" s="834">
        <v>0</v>
      </c>
      <c r="AJ266" s="812"/>
      <c r="AK266" s="820"/>
      <c r="AL266" s="834">
        <v>0</v>
      </c>
      <c r="AM266" s="812"/>
      <c r="AN266" s="820"/>
      <c r="AO266" s="834">
        <v>0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0</v>
      </c>
      <c r="F267" s="812"/>
      <c r="G267" s="820"/>
      <c r="H267" s="834">
        <v>0</v>
      </c>
      <c r="I267" s="812"/>
      <c r="J267" s="820"/>
      <c r="K267" s="834">
        <v>0</v>
      </c>
      <c r="L267" s="812"/>
      <c r="M267" s="820"/>
      <c r="N267" s="834">
        <v>0</v>
      </c>
      <c r="O267" s="812"/>
      <c r="P267" s="820"/>
      <c r="Q267" s="834">
        <v>0</v>
      </c>
      <c r="R267" s="812"/>
      <c r="S267" s="820"/>
      <c r="T267" s="834">
        <v>0</v>
      </c>
      <c r="U267" s="812"/>
      <c r="V267" s="820"/>
      <c r="W267" s="834">
        <v>0</v>
      </c>
      <c r="X267" s="812"/>
      <c r="Y267" s="820"/>
      <c r="Z267" s="834">
        <v>0</v>
      </c>
      <c r="AA267" s="812"/>
      <c r="AB267" s="820"/>
      <c r="AC267" s="834">
        <v>0</v>
      </c>
      <c r="AD267" s="812"/>
      <c r="AE267" s="820"/>
      <c r="AF267" s="834">
        <v>0</v>
      </c>
      <c r="AG267" s="812"/>
      <c r="AH267" s="820"/>
      <c r="AI267" s="834">
        <v>0</v>
      </c>
      <c r="AJ267" s="812"/>
      <c r="AK267" s="820"/>
      <c r="AL267" s="834">
        <v>0</v>
      </c>
      <c r="AM267" s="812"/>
      <c r="AN267" s="820"/>
      <c r="AO267" s="834">
        <v>0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0</v>
      </c>
      <c r="F269" s="839" t="s">
        <v>108</v>
      </c>
      <c r="G269" s="840">
        <v>0</v>
      </c>
      <c r="H269" s="841">
        <v>0</v>
      </c>
      <c r="I269" s="839" t="s">
        <v>108</v>
      </c>
      <c r="J269" s="840">
        <v>0</v>
      </c>
      <c r="K269" s="841">
        <v>0</v>
      </c>
      <c r="L269" s="839" t="s">
        <v>108</v>
      </c>
      <c r="M269" s="840">
        <v>0</v>
      </c>
      <c r="N269" s="841">
        <v>0</v>
      </c>
      <c r="O269" s="839" t="s">
        <v>108</v>
      </c>
      <c r="P269" s="840">
        <v>0</v>
      </c>
      <c r="Q269" s="841">
        <v>0</v>
      </c>
      <c r="R269" s="839" t="s">
        <v>108</v>
      </c>
      <c r="S269" s="840">
        <v>0</v>
      </c>
      <c r="T269" s="841">
        <v>0</v>
      </c>
      <c r="U269" s="839" t="s">
        <v>108</v>
      </c>
      <c r="V269" s="840">
        <v>0</v>
      </c>
      <c r="W269" s="841">
        <v>0</v>
      </c>
      <c r="X269" s="839" t="s">
        <v>108</v>
      </c>
      <c r="Y269" s="840">
        <v>0</v>
      </c>
      <c r="Z269" s="841">
        <v>0</v>
      </c>
      <c r="AA269" s="839" t="s">
        <v>108</v>
      </c>
      <c r="AB269" s="840">
        <v>0</v>
      </c>
      <c r="AC269" s="841">
        <v>0</v>
      </c>
      <c r="AD269" s="839" t="s">
        <v>108</v>
      </c>
      <c r="AE269" s="840">
        <v>0</v>
      </c>
      <c r="AF269" s="841">
        <v>0</v>
      </c>
      <c r="AG269" s="839" t="s">
        <v>108</v>
      </c>
      <c r="AH269" s="840">
        <v>0</v>
      </c>
      <c r="AI269" s="841">
        <v>0</v>
      </c>
      <c r="AJ269" s="839" t="s">
        <v>108</v>
      </c>
      <c r="AK269" s="840">
        <v>0</v>
      </c>
      <c r="AL269" s="841">
        <v>0</v>
      </c>
      <c r="AM269" s="839" t="s">
        <v>108</v>
      </c>
      <c r="AN269" s="840">
        <v>0</v>
      </c>
      <c r="AO269" s="841">
        <v>0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0</v>
      </c>
      <c r="F272" s="838"/>
      <c r="G272" s="845"/>
      <c r="H272" s="837">
        <v>0</v>
      </c>
      <c r="I272" s="838"/>
      <c r="J272" s="845"/>
      <c r="K272" s="837">
        <v>0</v>
      </c>
      <c r="L272" s="838"/>
      <c r="M272" s="845"/>
      <c r="N272" s="837">
        <v>0</v>
      </c>
      <c r="O272" s="838"/>
      <c r="P272" s="845"/>
      <c r="Q272" s="837">
        <v>0</v>
      </c>
      <c r="R272" s="838"/>
      <c r="S272" s="845"/>
      <c r="T272" s="837">
        <v>0</v>
      </c>
      <c r="U272" s="838"/>
      <c r="V272" s="845"/>
      <c r="W272" s="837">
        <v>0</v>
      </c>
      <c r="X272" s="838"/>
      <c r="Y272" s="845"/>
      <c r="Z272" s="837">
        <v>0</v>
      </c>
      <c r="AA272" s="838"/>
      <c r="AB272" s="845"/>
      <c r="AC272" s="837">
        <v>0</v>
      </c>
      <c r="AD272" s="838"/>
      <c r="AE272" s="845"/>
      <c r="AF272" s="837">
        <v>0</v>
      </c>
      <c r="AG272" s="838"/>
      <c r="AH272" s="845"/>
      <c r="AI272" s="837">
        <v>0</v>
      </c>
      <c r="AJ272" s="838"/>
      <c r="AK272" s="845"/>
      <c r="AL272" s="837">
        <v>0</v>
      </c>
      <c r="AM272" s="838"/>
      <c r="AN272" s="845"/>
      <c r="AO272" s="837">
        <v>0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0</v>
      </c>
      <c r="F273" s="812"/>
      <c r="G273" s="820"/>
      <c r="H273" s="834">
        <v>0</v>
      </c>
      <c r="I273" s="812"/>
      <c r="J273" s="820"/>
      <c r="K273" s="834">
        <v>0</v>
      </c>
      <c r="L273" s="812"/>
      <c r="M273" s="820"/>
      <c r="N273" s="834">
        <v>0</v>
      </c>
      <c r="O273" s="812"/>
      <c r="P273" s="820"/>
      <c r="Q273" s="834">
        <v>0</v>
      </c>
      <c r="R273" s="812"/>
      <c r="S273" s="820"/>
      <c r="T273" s="834">
        <v>0</v>
      </c>
      <c r="U273" s="812"/>
      <c r="V273" s="820"/>
      <c r="W273" s="834">
        <v>0</v>
      </c>
      <c r="X273" s="812"/>
      <c r="Y273" s="820"/>
      <c r="Z273" s="834">
        <v>0</v>
      </c>
      <c r="AA273" s="812"/>
      <c r="AB273" s="820"/>
      <c r="AC273" s="834">
        <v>0</v>
      </c>
      <c r="AD273" s="812"/>
      <c r="AE273" s="820"/>
      <c r="AF273" s="834">
        <v>0</v>
      </c>
      <c r="AG273" s="812"/>
      <c r="AH273" s="820"/>
      <c r="AI273" s="834">
        <v>0</v>
      </c>
      <c r="AJ273" s="812"/>
      <c r="AK273" s="820"/>
      <c r="AL273" s="834">
        <v>0</v>
      </c>
      <c r="AM273" s="812"/>
      <c r="AN273" s="820"/>
      <c r="AO273" s="834">
        <v>0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0</v>
      </c>
      <c r="F274" s="812"/>
      <c r="G274" s="820"/>
      <c r="H274" s="834">
        <v>0</v>
      </c>
      <c r="I274" s="812"/>
      <c r="J274" s="820"/>
      <c r="K274" s="834">
        <v>0</v>
      </c>
      <c r="L274" s="812"/>
      <c r="M274" s="820"/>
      <c r="N274" s="834">
        <v>0</v>
      </c>
      <c r="O274" s="812"/>
      <c r="P274" s="820"/>
      <c r="Q274" s="834">
        <v>0</v>
      </c>
      <c r="R274" s="812"/>
      <c r="S274" s="820"/>
      <c r="T274" s="834">
        <v>0</v>
      </c>
      <c r="U274" s="812"/>
      <c r="V274" s="820"/>
      <c r="W274" s="834">
        <v>0</v>
      </c>
      <c r="X274" s="812"/>
      <c r="Y274" s="820"/>
      <c r="Z274" s="834">
        <v>0</v>
      </c>
      <c r="AA274" s="812"/>
      <c r="AB274" s="820"/>
      <c r="AC274" s="834">
        <v>0</v>
      </c>
      <c r="AD274" s="812"/>
      <c r="AE274" s="820"/>
      <c r="AF274" s="834">
        <v>0</v>
      </c>
      <c r="AG274" s="812"/>
      <c r="AH274" s="820"/>
      <c r="AI274" s="834">
        <v>0</v>
      </c>
      <c r="AJ274" s="812"/>
      <c r="AK274" s="820"/>
      <c r="AL274" s="834">
        <v>0</v>
      </c>
      <c r="AM274" s="812"/>
      <c r="AN274" s="820"/>
      <c r="AO274" s="834">
        <v>0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0</v>
      </c>
      <c r="F275" s="838"/>
      <c r="G275" s="845"/>
      <c r="H275" s="837">
        <v>0</v>
      </c>
      <c r="I275" s="838"/>
      <c r="J275" s="845"/>
      <c r="K275" s="837">
        <v>0</v>
      </c>
      <c r="L275" s="838"/>
      <c r="M275" s="845"/>
      <c r="N275" s="837">
        <v>0</v>
      </c>
      <c r="O275" s="838"/>
      <c r="P275" s="845"/>
      <c r="Q275" s="837">
        <v>0</v>
      </c>
      <c r="R275" s="838"/>
      <c r="S275" s="845"/>
      <c r="T275" s="837">
        <v>0</v>
      </c>
      <c r="U275" s="838"/>
      <c r="V275" s="845"/>
      <c r="W275" s="837">
        <v>0</v>
      </c>
      <c r="X275" s="838"/>
      <c r="Y275" s="845"/>
      <c r="Z275" s="837">
        <v>0</v>
      </c>
      <c r="AA275" s="838"/>
      <c r="AB275" s="845"/>
      <c r="AC275" s="837">
        <v>0</v>
      </c>
      <c r="AD275" s="838"/>
      <c r="AE275" s="845"/>
      <c r="AF275" s="837">
        <v>0</v>
      </c>
      <c r="AG275" s="838"/>
      <c r="AH275" s="845"/>
      <c r="AI275" s="837">
        <v>0</v>
      </c>
      <c r="AJ275" s="838"/>
      <c r="AK275" s="845"/>
      <c r="AL275" s="837">
        <v>0</v>
      </c>
      <c r="AM275" s="838"/>
      <c r="AN275" s="845"/>
      <c r="AO275" s="837">
        <v>0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0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0</v>
      </c>
      <c r="F279" s="812"/>
      <c r="G279" s="820"/>
      <c r="H279" s="834">
        <v>0</v>
      </c>
      <c r="I279" s="812"/>
      <c r="J279" s="820"/>
      <c r="K279" s="834">
        <v>0</v>
      </c>
      <c r="L279" s="812"/>
      <c r="M279" s="820"/>
      <c r="N279" s="834">
        <v>0</v>
      </c>
      <c r="O279" s="812"/>
      <c r="P279" s="820"/>
      <c r="Q279" s="834">
        <v>0</v>
      </c>
      <c r="R279" s="812"/>
      <c r="S279" s="820"/>
      <c r="T279" s="834">
        <v>0</v>
      </c>
      <c r="U279" s="812"/>
      <c r="V279" s="820"/>
      <c r="W279" s="834">
        <v>0</v>
      </c>
      <c r="X279" s="812"/>
      <c r="Y279" s="820"/>
      <c r="Z279" s="834">
        <v>0</v>
      </c>
      <c r="AA279" s="812"/>
      <c r="AB279" s="820"/>
      <c r="AC279" s="834">
        <v>0</v>
      </c>
      <c r="AD279" s="812"/>
      <c r="AE279" s="820"/>
      <c r="AF279" s="834">
        <v>0</v>
      </c>
      <c r="AG279" s="812"/>
      <c r="AH279" s="820"/>
      <c r="AI279" s="834">
        <v>0</v>
      </c>
      <c r="AJ279" s="812"/>
      <c r="AK279" s="820"/>
      <c r="AL279" s="834">
        <v>0</v>
      </c>
      <c r="AM279" s="812"/>
      <c r="AN279" s="820"/>
      <c r="AO279" s="834">
        <v>0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0</v>
      </c>
      <c r="F280" s="812"/>
      <c r="G280" s="820"/>
      <c r="H280" s="834">
        <v>0</v>
      </c>
      <c r="I280" s="812"/>
      <c r="J280" s="820"/>
      <c r="K280" s="834">
        <v>0</v>
      </c>
      <c r="L280" s="812"/>
      <c r="M280" s="820"/>
      <c r="N280" s="834">
        <v>0</v>
      </c>
      <c r="O280" s="812"/>
      <c r="P280" s="820"/>
      <c r="Q280" s="834">
        <v>0</v>
      </c>
      <c r="R280" s="812"/>
      <c r="S280" s="820"/>
      <c r="T280" s="834">
        <v>0</v>
      </c>
      <c r="U280" s="812"/>
      <c r="V280" s="820"/>
      <c r="W280" s="834">
        <v>0</v>
      </c>
      <c r="X280" s="812"/>
      <c r="Y280" s="820"/>
      <c r="Z280" s="834">
        <v>0</v>
      </c>
      <c r="AA280" s="812"/>
      <c r="AB280" s="820"/>
      <c r="AC280" s="834">
        <v>0</v>
      </c>
      <c r="AD280" s="812"/>
      <c r="AE280" s="820"/>
      <c r="AF280" s="834">
        <v>0</v>
      </c>
      <c r="AG280" s="812"/>
      <c r="AH280" s="820"/>
      <c r="AI280" s="834">
        <v>0</v>
      </c>
      <c r="AJ280" s="812"/>
      <c r="AK280" s="820"/>
      <c r="AL280" s="834">
        <v>0</v>
      </c>
      <c r="AM280" s="812"/>
      <c r="AN280" s="820"/>
      <c r="AO280" s="834">
        <v>0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0</v>
      </c>
      <c r="F281" s="812"/>
      <c r="G281" s="820"/>
      <c r="H281" s="834">
        <v>0</v>
      </c>
      <c r="I281" s="812"/>
      <c r="J281" s="820"/>
      <c r="K281" s="834">
        <v>0</v>
      </c>
      <c r="L281" s="812"/>
      <c r="M281" s="820"/>
      <c r="N281" s="834">
        <v>0</v>
      </c>
      <c r="O281" s="812"/>
      <c r="P281" s="820"/>
      <c r="Q281" s="834">
        <v>0</v>
      </c>
      <c r="R281" s="812"/>
      <c r="S281" s="820"/>
      <c r="T281" s="834">
        <v>0</v>
      </c>
      <c r="U281" s="812"/>
      <c r="V281" s="820"/>
      <c r="W281" s="834">
        <v>0</v>
      </c>
      <c r="X281" s="812"/>
      <c r="Y281" s="820"/>
      <c r="Z281" s="834">
        <v>0</v>
      </c>
      <c r="AA281" s="812"/>
      <c r="AB281" s="820"/>
      <c r="AC281" s="834">
        <v>0</v>
      </c>
      <c r="AD281" s="812"/>
      <c r="AE281" s="820"/>
      <c r="AF281" s="834">
        <v>0</v>
      </c>
      <c r="AG281" s="812"/>
      <c r="AH281" s="820"/>
      <c r="AI281" s="834">
        <v>0</v>
      </c>
      <c r="AJ281" s="812"/>
      <c r="AK281" s="820"/>
      <c r="AL281" s="834">
        <v>0</v>
      </c>
      <c r="AM281" s="812"/>
      <c r="AN281" s="820"/>
      <c r="AO281" s="834">
        <v>0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0</v>
      </c>
      <c r="F282" s="812"/>
      <c r="G282" s="820"/>
      <c r="H282" s="834">
        <v>0</v>
      </c>
      <c r="I282" s="812"/>
      <c r="J282" s="820"/>
      <c r="K282" s="834">
        <v>0</v>
      </c>
      <c r="L282" s="812"/>
      <c r="M282" s="820"/>
      <c r="N282" s="834">
        <v>0</v>
      </c>
      <c r="O282" s="812"/>
      <c r="P282" s="820"/>
      <c r="Q282" s="834">
        <v>0</v>
      </c>
      <c r="R282" s="812"/>
      <c r="S282" s="820"/>
      <c r="T282" s="834">
        <v>0</v>
      </c>
      <c r="U282" s="812"/>
      <c r="V282" s="820"/>
      <c r="W282" s="834">
        <v>0</v>
      </c>
      <c r="X282" s="812"/>
      <c r="Y282" s="820"/>
      <c r="Z282" s="834">
        <v>0</v>
      </c>
      <c r="AA282" s="812"/>
      <c r="AB282" s="820"/>
      <c r="AC282" s="834">
        <v>0</v>
      </c>
      <c r="AD282" s="812"/>
      <c r="AE282" s="820"/>
      <c r="AF282" s="834">
        <v>0</v>
      </c>
      <c r="AG282" s="812"/>
      <c r="AH282" s="820"/>
      <c r="AI282" s="834">
        <v>0</v>
      </c>
      <c r="AJ282" s="812"/>
      <c r="AK282" s="820"/>
      <c r="AL282" s="834">
        <v>0</v>
      </c>
      <c r="AM282" s="812"/>
      <c r="AN282" s="820"/>
      <c r="AO282" s="834">
        <v>0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0</v>
      </c>
      <c r="F283" s="812"/>
      <c r="G283" s="820"/>
      <c r="H283" s="834">
        <v>0</v>
      </c>
      <c r="I283" s="812"/>
      <c r="J283" s="820"/>
      <c r="K283" s="834">
        <v>0</v>
      </c>
      <c r="L283" s="812"/>
      <c r="M283" s="820"/>
      <c r="N283" s="834">
        <v>0</v>
      </c>
      <c r="O283" s="812"/>
      <c r="P283" s="820"/>
      <c r="Q283" s="834">
        <v>0</v>
      </c>
      <c r="R283" s="812"/>
      <c r="S283" s="820"/>
      <c r="T283" s="834">
        <v>0</v>
      </c>
      <c r="U283" s="812"/>
      <c r="V283" s="820"/>
      <c r="W283" s="834">
        <v>0</v>
      </c>
      <c r="X283" s="812"/>
      <c r="Y283" s="820"/>
      <c r="Z283" s="834">
        <v>0</v>
      </c>
      <c r="AA283" s="812"/>
      <c r="AB283" s="820"/>
      <c r="AC283" s="834">
        <v>0</v>
      </c>
      <c r="AD283" s="812"/>
      <c r="AE283" s="820"/>
      <c r="AF283" s="834">
        <v>0</v>
      </c>
      <c r="AG283" s="812"/>
      <c r="AH283" s="820"/>
      <c r="AI283" s="834">
        <v>0</v>
      </c>
      <c r="AJ283" s="812"/>
      <c r="AK283" s="820"/>
      <c r="AL283" s="834">
        <v>0</v>
      </c>
      <c r="AM283" s="812"/>
      <c r="AN283" s="820"/>
      <c r="AO283" s="834">
        <v>0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0</v>
      </c>
      <c r="F284" s="812"/>
      <c r="G284" s="820"/>
      <c r="H284" s="834">
        <v>0</v>
      </c>
      <c r="I284" s="812"/>
      <c r="J284" s="820"/>
      <c r="K284" s="834">
        <v>0</v>
      </c>
      <c r="L284" s="812"/>
      <c r="M284" s="820"/>
      <c r="N284" s="834">
        <v>0</v>
      </c>
      <c r="O284" s="812"/>
      <c r="P284" s="820"/>
      <c r="Q284" s="834">
        <v>0</v>
      </c>
      <c r="R284" s="812"/>
      <c r="S284" s="820"/>
      <c r="T284" s="834">
        <v>0</v>
      </c>
      <c r="U284" s="812"/>
      <c r="V284" s="820"/>
      <c r="W284" s="834">
        <v>0</v>
      </c>
      <c r="X284" s="812"/>
      <c r="Y284" s="820"/>
      <c r="Z284" s="834">
        <v>0</v>
      </c>
      <c r="AA284" s="812"/>
      <c r="AB284" s="820"/>
      <c r="AC284" s="834">
        <v>0</v>
      </c>
      <c r="AD284" s="812"/>
      <c r="AE284" s="820"/>
      <c r="AF284" s="834">
        <v>0</v>
      </c>
      <c r="AG284" s="812"/>
      <c r="AH284" s="820"/>
      <c r="AI284" s="834">
        <v>0</v>
      </c>
      <c r="AJ284" s="812"/>
      <c r="AK284" s="820"/>
      <c r="AL284" s="834">
        <v>0</v>
      </c>
      <c r="AM284" s="812"/>
      <c r="AN284" s="820"/>
      <c r="AO284" s="834">
        <v>0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0</v>
      </c>
      <c r="F288" s="851" t="s">
        <v>108</v>
      </c>
      <c r="G288" s="852">
        <v>0</v>
      </c>
      <c r="H288" s="853">
        <v>0</v>
      </c>
      <c r="I288" s="851" t="s">
        <v>108</v>
      </c>
      <c r="J288" s="852">
        <v>0</v>
      </c>
      <c r="K288" s="853">
        <v>0</v>
      </c>
      <c r="L288" s="851" t="s">
        <v>108</v>
      </c>
      <c r="M288" s="852">
        <v>0</v>
      </c>
      <c r="N288" s="853">
        <v>0</v>
      </c>
      <c r="O288" s="851" t="s">
        <v>108</v>
      </c>
      <c r="P288" s="852">
        <v>0</v>
      </c>
      <c r="Q288" s="853">
        <v>0</v>
      </c>
      <c r="R288" s="851" t="s">
        <v>108</v>
      </c>
      <c r="S288" s="852">
        <v>0</v>
      </c>
      <c r="T288" s="853">
        <v>0</v>
      </c>
      <c r="U288" s="851" t="s">
        <v>108</v>
      </c>
      <c r="V288" s="852">
        <v>0</v>
      </c>
      <c r="W288" s="853">
        <v>0</v>
      </c>
      <c r="X288" s="851" t="s">
        <v>108</v>
      </c>
      <c r="Y288" s="852">
        <v>0</v>
      </c>
      <c r="Z288" s="853">
        <v>0</v>
      </c>
      <c r="AA288" s="851" t="s">
        <v>108</v>
      </c>
      <c r="AB288" s="852">
        <v>0</v>
      </c>
      <c r="AC288" s="853">
        <v>0</v>
      </c>
      <c r="AD288" s="851" t="s">
        <v>108</v>
      </c>
      <c r="AE288" s="852">
        <v>0</v>
      </c>
      <c r="AF288" s="853">
        <v>0</v>
      </c>
      <c r="AG288" s="851" t="s">
        <v>108</v>
      </c>
      <c r="AH288" s="852">
        <v>0</v>
      </c>
      <c r="AI288" s="853">
        <v>0</v>
      </c>
      <c r="AJ288" s="851" t="s">
        <v>108</v>
      </c>
      <c r="AK288" s="852">
        <v>0</v>
      </c>
      <c r="AL288" s="853">
        <v>0</v>
      </c>
      <c r="AM288" s="851" t="s">
        <v>108</v>
      </c>
      <c r="AN288" s="852">
        <v>0</v>
      </c>
      <c r="AO288" s="853">
        <v>0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0</v>
      </c>
      <c r="F290" s="839" t="s">
        <v>108</v>
      </c>
      <c r="G290" s="877">
        <v>0</v>
      </c>
      <c r="H290" s="850">
        <v>0</v>
      </c>
      <c r="I290" s="839" t="s">
        <v>108</v>
      </c>
      <c r="J290" s="877">
        <v>0</v>
      </c>
      <c r="K290" s="850">
        <v>0</v>
      </c>
      <c r="L290" s="839" t="s">
        <v>108</v>
      </c>
      <c r="M290" s="877">
        <v>0</v>
      </c>
      <c r="N290" s="850">
        <v>0</v>
      </c>
      <c r="O290" s="839" t="s">
        <v>108</v>
      </c>
      <c r="P290" s="877">
        <v>0</v>
      </c>
      <c r="Q290" s="850">
        <v>0</v>
      </c>
      <c r="R290" s="839" t="s">
        <v>108</v>
      </c>
      <c r="S290" s="877">
        <v>0</v>
      </c>
      <c r="T290" s="850">
        <v>0</v>
      </c>
      <c r="U290" s="839" t="s">
        <v>108</v>
      </c>
      <c r="V290" s="877">
        <v>0</v>
      </c>
      <c r="W290" s="850">
        <v>0</v>
      </c>
      <c r="X290" s="839" t="s">
        <v>108</v>
      </c>
      <c r="Y290" s="877">
        <v>0</v>
      </c>
      <c r="Z290" s="850">
        <v>0</v>
      </c>
      <c r="AA290" s="839" t="s">
        <v>108</v>
      </c>
      <c r="AB290" s="877">
        <v>0</v>
      </c>
      <c r="AC290" s="850">
        <v>0</v>
      </c>
      <c r="AD290" s="839" t="s">
        <v>108</v>
      </c>
      <c r="AE290" s="877">
        <v>0</v>
      </c>
      <c r="AF290" s="850">
        <v>0</v>
      </c>
      <c r="AG290" s="839" t="s">
        <v>108</v>
      </c>
      <c r="AH290" s="877">
        <v>0</v>
      </c>
      <c r="AI290" s="850">
        <v>0</v>
      </c>
      <c r="AJ290" s="839" t="s">
        <v>108</v>
      </c>
      <c r="AK290" s="877">
        <v>0</v>
      </c>
      <c r="AL290" s="850">
        <v>0</v>
      </c>
      <c r="AM290" s="839" t="s">
        <v>108</v>
      </c>
      <c r="AN290" s="877">
        <v>0</v>
      </c>
      <c r="AO290" s="850">
        <v>0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0</v>
      </c>
      <c r="F292" s="878"/>
      <c r="G292" s="879"/>
      <c r="H292" s="859">
        <v>0</v>
      </c>
      <c r="I292" s="878"/>
      <c r="J292" s="879"/>
      <c r="K292" s="859">
        <v>0</v>
      </c>
      <c r="L292" s="878"/>
      <c r="M292" s="879"/>
      <c r="N292" s="859">
        <v>0</v>
      </c>
      <c r="O292" s="878"/>
      <c r="P292" s="879"/>
      <c r="Q292" s="859">
        <v>0</v>
      </c>
      <c r="R292" s="878"/>
      <c r="S292" s="879"/>
      <c r="T292" s="859">
        <v>0</v>
      </c>
      <c r="U292" s="878"/>
      <c r="V292" s="879"/>
      <c r="W292" s="859">
        <v>0</v>
      </c>
      <c r="X292" s="878"/>
      <c r="Y292" s="879"/>
      <c r="Z292" s="859">
        <v>0</v>
      </c>
      <c r="AA292" s="878"/>
      <c r="AB292" s="879"/>
      <c r="AC292" s="859">
        <v>0</v>
      </c>
      <c r="AD292" s="878"/>
      <c r="AE292" s="879"/>
      <c r="AF292" s="859">
        <v>0</v>
      </c>
      <c r="AG292" s="878"/>
      <c r="AH292" s="879"/>
      <c r="AI292" s="859">
        <v>0</v>
      </c>
      <c r="AJ292" s="878"/>
      <c r="AK292" s="879"/>
      <c r="AL292" s="859">
        <v>0</v>
      </c>
      <c r="AM292" s="878"/>
      <c r="AN292" s="879"/>
      <c r="AO292" s="859">
        <v>0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2938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2025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752599.99999999988</v>
      </c>
      <c r="D298" s="875">
        <v>0.41</v>
      </c>
      <c r="E298" s="834">
        <v>308565.99999999994</v>
      </c>
      <c r="F298" s="881">
        <v>42018.714388137254</v>
      </c>
      <c r="G298" s="875">
        <v>0.41</v>
      </c>
      <c r="H298" s="834">
        <v>17227.672899136272</v>
      </c>
      <c r="I298" s="881">
        <v>43650.772741528235</v>
      </c>
      <c r="J298" s="875">
        <v>0.41000000000000003</v>
      </c>
      <c r="K298" s="834">
        <v>17896.816824026577</v>
      </c>
      <c r="L298" s="881">
        <v>51571.733603597837</v>
      </c>
      <c r="M298" s="875">
        <v>0.40999999999999992</v>
      </c>
      <c r="N298" s="834">
        <v>21144.41077747511</v>
      </c>
      <c r="O298" s="881">
        <v>52833.577086390134</v>
      </c>
      <c r="P298" s="875">
        <v>0.41</v>
      </c>
      <c r="Q298" s="834">
        <v>21661.766605419954</v>
      </c>
      <c r="R298" s="881">
        <v>98824.078278664252</v>
      </c>
      <c r="S298" s="875">
        <v>0.41</v>
      </c>
      <c r="T298" s="834">
        <v>40517.872094252343</v>
      </c>
      <c r="U298" s="881">
        <v>73437.477357331052</v>
      </c>
      <c r="V298" s="875">
        <v>0.41</v>
      </c>
      <c r="W298" s="834">
        <v>30109.36571650573</v>
      </c>
      <c r="X298" s="881">
        <v>78855.887470716159</v>
      </c>
      <c r="Y298" s="875">
        <v>0.41</v>
      </c>
      <c r="Z298" s="834">
        <v>32330.913862993624</v>
      </c>
      <c r="AA298" s="881">
        <v>56499.169993336924</v>
      </c>
      <c r="AB298" s="875">
        <v>0.41</v>
      </c>
      <c r="AC298" s="834">
        <v>23164.659697268136</v>
      </c>
      <c r="AD298" s="881">
        <v>65857.399525775734</v>
      </c>
      <c r="AE298" s="875">
        <v>0.41</v>
      </c>
      <c r="AF298" s="834">
        <v>27001.533805568048</v>
      </c>
      <c r="AG298" s="881">
        <v>63406.97646851209</v>
      </c>
      <c r="AH298" s="875">
        <v>0.41</v>
      </c>
      <c r="AI298" s="834">
        <v>25996.860352089956</v>
      </c>
      <c r="AJ298" s="881">
        <v>79156.896088608351</v>
      </c>
      <c r="AK298" s="875">
        <v>0.41</v>
      </c>
      <c r="AL298" s="834">
        <v>32454.327396329423</v>
      </c>
      <c r="AM298" s="881">
        <v>46487.316997401977</v>
      </c>
      <c r="AN298" s="875">
        <v>0.41000000000000003</v>
      </c>
      <c r="AO298" s="834">
        <v>19059.799968934811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0</v>
      </c>
      <c r="D299" s="875">
        <v>0</v>
      </c>
      <c r="E299" s="834">
        <v>0</v>
      </c>
      <c r="F299" s="881">
        <v>0</v>
      </c>
      <c r="G299" s="875">
        <v>0</v>
      </c>
      <c r="H299" s="834">
        <v>0</v>
      </c>
      <c r="I299" s="881">
        <v>0</v>
      </c>
      <c r="J299" s="875">
        <v>0</v>
      </c>
      <c r="K299" s="834">
        <v>0</v>
      </c>
      <c r="L299" s="881">
        <v>0</v>
      </c>
      <c r="M299" s="875">
        <v>0</v>
      </c>
      <c r="N299" s="834">
        <v>0</v>
      </c>
      <c r="O299" s="881">
        <v>0</v>
      </c>
      <c r="P299" s="875">
        <v>0</v>
      </c>
      <c r="Q299" s="834">
        <v>0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0</v>
      </c>
      <c r="AH299" s="875">
        <v>0</v>
      </c>
      <c r="AI299" s="834">
        <v>0</v>
      </c>
      <c r="AJ299" s="881">
        <v>0</v>
      </c>
      <c r="AK299" s="875">
        <v>0</v>
      </c>
      <c r="AL299" s="834">
        <v>0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600000</v>
      </c>
      <c r="D300" s="875">
        <v>0.28499999999999998</v>
      </c>
      <c r="E300" s="834">
        <v>170999.99999999997</v>
      </c>
      <c r="F300" s="881">
        <v>55585.246256078062</v>
      </c>
      <c r="G300" s="875">
        <v>0.28499999999999998</v>
      </c>
      <c r="H300" s="834">
        <v>15841.795182982247</v>
      </c>
      <c r="I300" s="881">
        <v>32258.266806877076</v>
      </c>
      <c r="J300" s="875">
        <v>0.28499999999999998</v>
      </c>
      <c r="K300" s="834">
        <v>9193.6060399599664</v>
      </c>
      <c r="L300" s="881">
        <v>67558.895688795848</v>
      </c>
      <c r="M300" s="875">
        <v>0.28499999999999998</v>
      </c>
      <c r="N300" s="834">
        <v>19254.285271306817</v>
      </c>
      <c r="O300" s="881">
        <v>46238.697338689264</v>
      </c>
      <c r="P300" s="875">
        <v>0.28499999999999998</v>
      </c>
      <c r="Q300" s="834">
        <v>13178.028741526439</v>
      </c>
      <c r="R300" s="881">
        <v>45442.172409065461</v>
      </c>
      <c r="S300" s="875">
        <v>0.28499999999999998</v>
      </c>
      <c r="T300" s="834">
        <v>12951.019136583654</v>
      </c>
      <c r="U300" s="881">
        <v>53061.793248402479</v>
      </c>
      <c r="V300" s="875">
        <v>0.28499999999999998</v>
      </c>
      <c r="W300" s="834">
        <v>15122.611075794704</v>
      </c>
      <c r="X300" s="881">
        <v>54825.668868346642</v>
      </c>
      <c r="Y300" s="875">
        <v>0.28499999999999998</v>
      </c>
      <c r="Z300" s="834">
        <v>15625.315627478791</v>
      </c>
      <c r="AA300" s="881">
        <v>50866.187275162803</v>
      </c>
      <c r="AB300" s="875">
        <v>0.28499999999999998</v>
      </c>
      <c r="AC300" s="834">
        <v>14496.863373421398</v>
      </c>
      <c r="AD300" s="881">
        <v>66950.52424846348</v>
      </c>
      <c r="AE300" s="875">
        <v>0.28499999999999998</v>
      </c>
      <c r="AF300" s="834">
        <v>19080.89941081209</v>
      </c>
      <c r="AG300" s="881">
        <v>44644.230766166322</v>
      </c>
      <c r="AH300" s="875">
        <v>0.28499999999999998</v>
      </c>
      <c r="AI300" s="834">
        <v>12723.6057683574</v>
      </c>
      <c r="AJ300" s="881">
        <v>43079.472829361701</v>
      </c>
      <c r="AK300" s="875">
        <v>0.28499999999999998</v>
      </c>
      <c r="AL300" s="834">
        <v>12277.649756368084</v>
      </c>
      <c r="AM300" s="881">
        <v>39488.844264590873</v>
      </c>
      <c r="AN300" s="875">
        <v>0.28499999999999998</v>
      </c>
      <c r="AO300" s="834">
        <v>11254.320615408398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254799.99999999997</v>
      </c>
      <c r="D301" s="875">
        <v>0.35</v>
      </c>
      <c r="E301" s="834">
        <v>89179.999999999985</v>
      </c>
      <c r="F301" s="881">
        <v>16892.786020727752</v>
      </c>
      <c r="G301" s="875">
        <v>0.35</v>
      </c>
      <c r="H301" s="834">
        <v>5912.4751072547124</v>
      </c>
      <c r="I301" s="881">
        <v>10608.615174522634</v>
      </c>
      <c r="J301" s="875">
        <v>0.35</v>
      </c>
      <c r="K301" s="834">
        <v>3713.0153110829219</v>
      </c>
      <c r="L301" s="881">
        <v>22406.808699336212</v>
      </c>
      <c r="M301" s="875">
        <v>0.35</v>
      </c>
      <c r="N301" s="834">
        <v>7842.3830447676737</v>
      </c>
      <c r="O301" s="881">
        <v>18851.520787682755</v>
      </c>
      <c r="P301" s="875">
        <v>0.35</v>
      </c>
      <c r="Q301" s="834">
        <v>6598.0322756889636</v>
      </c>
      <c r="R301" s="881">
        <v>26504.77188254194</v>
      </c>
      <c r="S301" s="875">
        <v>0.35</v>
      </c>
      <c r="T301" s="834">
        <v>9276.6701588896776</v>
      </c>
      <c r="U301" s="881">
        <v>16304.778677468865</v>
      </c>
      <c r="V301" s="875">
        <v>0.35</v>
      </c>
      <c r="W301" s="834">
        <v>5706.6725371141019</v>
      </c>
      <c r="X301" s="881">
        <v>22787.106926557968</v>
      </c>
      <c r="Y301" s="875">
        <v>0.35</v>
      </c>
      <c r="Z301" s="834">
        <v>7975.4874242952883</v>
      </c>
      <c r="AA301" s="881">
        <v>20699.746069477784</v>
      </c>
      <c r="AB301" s="875">
        <v>0.35</v>
      </c>
      <c r="AC301" s="834">
        <v>7244.9111243172238</v>
      </c>
      <c r="AD301" s="881">
        <v>24776.835011512248</v>
      </c>
      <c r="AE301" s="875">
        <v>0.35</v>
      </c>
      <c r="AF301" s="834">
        <v>8671.8922540292861</v>
      </c>
      <c r="AG301" s="881">
        <v>24167.961473658779</v>
      </c>
      <c r="AH301" s="875">
        <v>0.35</v>
      </c>
      <c r="AI301" s="834">
        <v>8458.7865157805718</v>
      </c>
      <c r="AJ301" s="881">
        <v>30334.351860371611</v>
      </c>
      <c r="AK301" s="875">
        <v>0.35</v>
      </c>
      <c r="AL301" s="834">
        <v>10617.023151130063</v>
      </c>
      <c r="AM301" s="881">
        <v>20464.717416141451</v>
      </c>
      <c r="AN301" s="875">
        <v>0.35</v>
      </c>
      <c r="AO301" s="834">
        <v>7162.6510956495076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297000</v>
      </c>
      <c r="D302" s="875">
        <v>0.29999999999999993</v>
      </c>
      <c r="E302" s="834">
        <v>89099.999999999985</v>
      </c>
      <c r="F302" s="881">
        <v>14625.219171921442</v>
      </c>
      <c r="G302" s="875">
        <v>0.3</v>
      </c>
      <c r="H302" s="834">
        <v>4387.5657515764324</v>
      </c>
      <c r="I302" s="881">
        <v>24414.853147571026</v>
      </c>
      <c r="J302" s="875">
        <v>0.3</v>
      </c>
      <c r="K302" s="834">
        <v>7324.455944271308</v>
      </c>
      <c r="L302" s="881">
        <v>28277.10575658844</v>
      </c>
      <c r="M302" s="875">
        <v>0.3</v>
      </c>
      <c r="N302" s="834">
        <v>8483.1317269765314</v>
      </c>
      <c r="O302" s="881">
        <v>25639.426519790683</v>
      </c>
      <c r="P302" s="875">
        <v>0.3</v>
      </c>
      <c r="Q302" s="834">
        <v>7691.827955937204</v>
      </c>
      <c r="R302" s="881">
        <v>26444.432310803884</v>
      </c>
      <c r="S302" s="875">
        <v>0.3</v>
      </c>
      <c r="T302" s="834">
        <v>7933.3296932411649</v>
      </c>
      <c r="U302" s="881">
        <v>27408.664282225782</v>
      </c>
      <c r="V302" s="875">
        <v>0.3</v>
      </c>
      <c r="W302" s="834">
        <v>8222.5992846677345</v>
      </c>
      <c r="X302" s="881">
        <v>21868.031650631361</v>
      </c>
      <c r="Y302" s="875">
        <v>0.3</v>
      </c>
      <c r="Z302" s="834">
        <v>6560.4094951894085</v>
      </c>
      <c r="AA302" s="881">
        <v>24532.205480455625</v>
      </c>
      <c r="AB302" s="875">
        <v>0.3</v>
      </c>
      <c r="AC302" s="834">
        <v>7359.6616441366868</v>
      </c>
      <c r="AD302" s="881">
        <v>27228.966535810559</v>
      </c>
      <c r="AE302" s="875">
        <v>0.3</v>
      </c>
      <c r="AF302" s="834">
        <v>8168.6899607431678</v>
      </c>
      <c r="AG302" s="881">
        <v>32088.589869270709</v>
      </c>
      <c r="AH302" s="875">
        <v>0.3</v>
      </c>
      <c r="AI302" s="834">
        <v>9626.5769607812126</v>
      </c>
      <c r="AJ302" s="881">
        <v>26654.02245254481</v>
      </c>
      <c r="AK302" s="875">
        <v>0.3</v>
      </c>
      <c r="AL302" s="834">
        <v>7996.2067357634423</v>
      </c>
      <c r="AM302" s="881">
        <v>17818.482822385668</v>
      </c>
      <c r="AN302" s="875">
        <v>0.3</v>
      </c>
      <c r="AO302" s="834">
        <v>5345.5448467157003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580200</v>
      </c>
      <c r="D303" s="875">
        <v>0.20000000000000004</v>
      </c>
      <c r="E303" s="834">
        <v>116040.00000000001</v>
      </c>
      <c r="F303" s="881">
        <v>58904.965233916264</v>
      </c>
      <c r="G303" s="875">
        <v>0.2</v>
      </c>
      <c r="H303" s="834">
        <v>11780.993046783253</v>
      </c>
      <c r="I303" s="881">
        <v>46683.461060030124</v>
      </c>
      <c r="J303" s="875">
        <v>0.19999999999999998</v>
      </c>
      <c r="K303" s="834">
        <v>9336.6922120060244</v>
      </c>
      <c r="L303" s="881">
        <v>52210.892351113376</v>
      </c>
      <c r="M303" s="875">
        <v>0.2</v>
      </c>
      <c r="N303" s="834">
        <v>10442.178470222676</v>
      </c>
      <c r="O303" s="881">
        <v>38846.442240444754</v>
      </c>
      <c r="P303" s="875">
        <v>0.2</v>
      </c>
      <c r="Q303" s="834">
        <v>7769.2884480889516</v>
      </c>
      <c r="R303" s="881">
        <v>67457.856416273164</v>
      </c>
      <c r="S303" s="875">
        <v>0.2</v>
      </c>
      <c r="T303" s="834">
        <v>13491.571283254634</v>
      </c>
      <c r="U303" s="881">
        <v>56812.803074842457</v>
      </c>
      <c r="V303" s="875">
        <v>0.2</v>
      </c>
      <c r="W303" s="834">
        <v>11362.560614968492</v>
      </c>
      <c r="X303" s="881">
        <v>45095.329043354155</v>
      </c>
      <c r="Y303" s="875">
        <v>0.2</v>
      </c>
      <c r="Z303" s="834">
        <v>9019.0658086708318</v>
      </c>
      <c r="AA303" s="881">
        <v>32390.327409100926</v>
      </c>
      <c r="AB303" s="875">
        <v>0.2</v>
      </c>
      <c r="AC303" s="834">
        <v>6478.0654818201856</v>
      </c>
      <c r="AD303" s="881">
        <v>32876.577182474772</v>
      </c>
      <c r="AE303" s="875">
        <v>0.2</v>
      </c>
      <c r="AF303" s="834">
        <v>6575.3154364949551</v>
      </c>
      <c r="AG303" s="881">
        <v>35067.91215398952</v>
      </c>
      <c r="AH303" s="875">
        <v>0.2</v>
      </c>
      <c r="AI303" s="834">
        <v>7013.5824307979046</v>
      </c>
      <c r="AJ303" s="881">
        <v>61767.125077228797</v>
      </c>
      <c r="AK303" s="875">
        <v>0.2</v>
      </c>
      <c r="AL303" s="834">
        <v>12353.42501544576</v>
      </c>
      <c r="AM303" s="881">
        <v>52086.308757231716</v>
      </c>
      <c r="AN303" s="875">
        <v>0.2</v>
      </c>
      <c r="AO303" s="834">
        <v>10417.261751446344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65000</v>
      </c>
      <c r="F305" s="881">
        <v>0</v>
      </c>
      <c r="G305" s="875">
        <v>0</v>
      </c>
      <c r="H305" s="834">
        <v>4919.0012555746398</v>
      </c>
      <c r="I305" s="881">
        <v>0</v>
      </c>
      <c r="J305" s="875">
        <v>0</v>
      </c>
      <c r="K305" s="834">
        <v>4123.4154312502587</v>
      </c>
      <c r="L305" s="881">
        <v>0</v>
      </c>
      <c r="M305" s="875">
        <v>0</v>
      </c>
      <c r="N305" s="834">
        <v>5808.4413372225154</v>
      </c>
      <c r="O305" s="881">
        <v>0</v>
      </c>
      <c r="P305" s="875">
        <v>0</v>
      </c>
      <c r="Q305" s="834">
        <v>4772.0470732692775</v>
      </c>
      <c r="R305" s="881">
        <v>0</v>
      </c>
      <c r="S305" s="875">
        <v>0</v>
      </c>
      <c r="T305" s="834">
        <v>6924.1589126328845</v>
      </c>
      <c r="U305" s="881">
        <v>0</v>
      </c>
      <c r="V305" s="875">
        <v>0</v>
      </c>
      <c r="W305" s="834">
        <v>5939.2492077668803</v>
      </c>
      <c r="X305" s="881">
        <v>0</v>
      </c>
      <c r="Y305" s="875">
        <v>0</v>
      </c>
      <c r="Z305" s="834">
        <v>5845.2392970194041</v>
      </c>
      <c r="AA305" s="881">
        <v>0</v>
      </c>
      <c r="AB305" s="875">
        <v>0</v>
      </c>
      <c r="AC305" s="834">
        <v>4839.4897990782074</v>
      </c>
      <c r="AD305" s="881">
        <v>0</v>
      </c>
      <c r="AE305" s="875">
        <v>0</v>
      </c>
      <c r="AF305" s="834">
        <v>5695.0292452557314</v>
      </c>
      <c r="AG305" s="881">
        <v>0</v>
      </c>
      <c r="AH305" s="875">
        <v>0</v>
      </c>
      <c r="AI305" s="834">
        <v>5215.8973668010267</v>
      </c>
      <c r="AJ305" s="881">
        <v>0</v>
      </c>
      <c r="AK305" s="875">
        <v>0</v>
      </c>
      <c r="AL305" s="834">
        <v>6304.6250664201443</v>
      </c>
      <c r="AM305" s="881">
        <v>0</v>
      </c>
      <c r="AN305" s="875">
        <v>0</v>
      </c>
      <c r="AO305" s="834">
        <v>4613.4060077090317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2484600</v>
      </c>
      <c r="D307" s="914">
        <v>0.33763422683731781</v>
      </c>
      <c r="E307" s="915">
        <v>838885.99999999988</v>
      </c>
      <c r="F307" s="913">
        <v>188026.93107078079</v>
      </c>
      <c r="G307" s="914">
        <v>0.31947286966405369</v>
      </c>
      <c r="H307" s="915">
        <v>60069.503243307554</v>
      </c>
      <c r="I307" s="913">
        <v>157615.96893052911</v>
      </c>
      <c r="J307" s="914">
        <v>0.32730187247292825</v>
      </c>
      <c r="K307" s="915">
        <v>51588.001762597058</v>
      </c>
      <c r="L307" s="913">
        <v>222025.43609943171</v>
      </c>
      <c r="M307" s="914">
        <v>0.3286777943554644</v>
      </c>
      <c r="N307" s="915">
        <v>72974.830627971314</v>
      </c>
      <c r="O307" s="913">
        <v>182409.66397299763</v>
      </c>
      <c r="P307" s="914">
        <v>0.33809059101748051</v>
      </c>
      <c r="Q307" s="915">
        <v>61670.99109993079</v>
      </c>
      <c r="R307" s="913">
        <v>264673.3112973487</v>
      </c>
      <c r="S307" s="914">
        <v>0.34417758568983031</v>
      </c>
      <c r="T307" s="915">
        <v>91094.621278854363</v>
      </c>
      <c r="U307" s="913">
        <v>227025.51664027062</v>
      </c>
      <c r="V307" s="914">
        <v>0.33680380764412432</v>
      </c>
      <c r="W307" s="915">
        <v>76463.05843681765</v>
      </c>
      <c r="X307" s="913">
        <v>223432.0239596063</v>
      </c>
      <c r="Y307" s="914">
        <v>0.3462190877778219</v>
      </c>
      <c r="Z307" s="915">
        <v>77356.431515647346</v>
      </c>
      <c r="AA307" s="913">
        <v>184987.63622753407</v>
      </c>
      <c r="AB307" s="914">
        <v>0.34371838257252069</v>
      </c>
      <c r="AC307" s="915">
        <v>63583.651120041839</v>
      </c>
      <c r="AD307" s="913">
        <v>217690.30250403678</v>
      </c>
      <c r="AE307" s="914">
        <v>0.34541437651550377</v>
      </c>
      <c r="AF307" s="915">
        <v>75193.360112903276</v>
      </c>
      <c r="AG307" s="913">
        <v>199375.67073159741</v>
      </c>
      <c r="AH307" s="914">
        <v>0.34625744024477517</v>
      </c>
      <c r="AI307" s="915">
        <v>69035.309394608063</v>
      </c>
      <c r="AJ307" s="913">
        <v>240991.86830811526</v>
      </c>
      <c r="AK307" s="914">
        <v>0.34027395902260626</v>
      </c>
      <c r="AL307" s="915">
        <v>82003.257121456933</v>
      </c>
      <c r="AM307" s="913">
        <v>176345.67025775168</v>
      </c>
      <c r="AN307" s="914">
        <v>0.32806580508216771</v>
      </c>
      <c r="AO307" s="915">
        <v>57852.984285863786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800000</v>
      </c>
      <c r="D310" s="875">
        <v>0.23999999999999996</v>
      </c>
      <c r="E310" s="834">
        <v>191999.99999999997</v>
      </c>
      <c r="F310" s="881">
        <v>22559.68308239472</v>
      </c>
      <c r="G310" s="875">
        <v>0.24</v>
      </c>
      <c r="H310" s="834">
        <v>5414.3239397747329</v>
      </c>
      <c r="I310" s="881">
        <v>41608.531116566068</v>
      </c>
      <c r="J310" s="875">
        <v>0.24</v>
      </c>
      <c r="K310" s="834">
        <v>9986.0474679758554</v>
      </c>
      <c r="L310" s="881">
        <v>51469.139266936058</v>
      </c>
      <c r="M310" s="875">
        <v>0.24</v>
      </c>
      <c r="N310" s="834">
        <v>12352.593424064653</v>
      </c>
      <c r="O310" s="881">
        <v>88486.639182204992</v>
      </c>
      <c r="P310" s="875">
        <v>0.24</v>
      </c>
      <c r="Q310" s="834">
        <v>21236.793403729196</v>
      </c>
      <c r="R310" s="881">
        <v>78606.103678435378</v>
      </c>
      <c r="S310" s="875">
        <v>0.24</v>
      </c>
      <c r="T310" s="834">
        <v>18865.46488282449</v>
      </c>
      <c r="U310" s="881">
        <v>50681.855057798777</v>
      </c>
      <c r="V310" s="875">
        <v>0.24000000000000002</v>
      </c>
      <c r="W310" s="834">
        <v>12163.645213871707</v>
      </c>
      <c r="X310" s="881">
        <v>47198.651392457308</v>
      </c>
      <c r="Y310" s="875">
        <v>0.24</v>
      </c>
      <c r="Z310" s="834">
        <v>11327.676334189753</v>
      </c>
      <c r="AA310" s="881">
        <v>43391.595459120166</v>
      </c>
      <c r="AB310" s="875">
        <v>0.24</v>
      </c>
      <c r="AC310" s="834">
        <v>10413.982910188839</v>
      </c>
      <c r="AD310" s="881">
        <v>72116.569244223603</v>
      </c>
      <c r="AE310" s="875">
        <v>0.24000000000000002</v>
      </c>
      <c r="AF310" s="834">
        <v>17307.976618613666</v>
      </c>
      <c r="AG310" s="881">
        <v>113604.17645072647</v>
      </c>
      <c r="AH310" s="875">
        <v>0.24</v>
      </c>
      <c r="AI310" s="834">
        <v>27265.002348174352</v>
      </c>
      <c r="AJ310" s="881">
        <v>137205.10504824581</v>
      </c>
      <c r="AK310" s="875">
        <v>0.24000000000000002</v>
      </c>
      <c r="AL310" s="834">
        <v>32929.225211578996</v>
      </c>
      <c r="AM310" s="881">
        <v>53071.95102089065</v>
      </c>
      <c r="AN310" s="875">
        <v>0.24</v>
      </c>
      <c r="AO310" s="834">
        <v>12737.268245013756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135500</v>
      </c>
      <c r="D311" s="875">
        <v>0.34399999999999997</v>
      </c>
      <c r="E311" s="834">
        <v>46612</v>
      </c>
      <c r="F311" s="881">
        <v>7330.9389927239226</v>
      </c>
      <c r="G311" s="875">
        <v>0.34399999999999997</v>
      </c>
      <c r="H311" s="834">
        <v>2521.843013497029</v>
      </c>
      <c r="I311" s="881">
        <v>8596.4580569439149</v>
      </c>
      <c r="J311" s="875">
        <v>0.34399999999999997</v>
      </c>
      <c r="K311" s="834">
        <v>2957.1815715887064</v>
      </c>
      <c r="L311" s="881">
        <v>8667.8478326592176</v>
      </c>
      <c r="M311" s="875">
        <v>0.34399999999999997</v>
      </c>
      <c r="N311" s="834">
        <v>2981.7396544347707</v>
      </c>
      <c r="O311" s="881">
        <v>11295.663199201983</v>
      </c>
      <c r="P311" s="875">
        <v>0.34399999999999997</v>
      </c>
      <c r="Q311" s="834">
        <v>3885.7081405254817</v>
      </c>
      <c r="R311" s="881">
        <v>14636.104976159215</v>
      </c>
      <c r="S311" s="875">
        <v>0.34399999999999997</v>
      </c>
      <c r="T311" s="834">
        <v>5034.8201117987692</v>
      </c>
      <c r="U311" s="881">
        <v>13058.864480826443</v>
      </c>
      <c r="V311" s="875">
        <v>0.34399999999999997</v>
      </c>
      <c r="W311" s="834">
        <v>4492.2493814042964</v>
      </c>
      <c r="X311" s="881">
        <v>12776.053009267396</v>
      </c>
      <c r="Y311" s="875">
        <v>0.34400000000000003</v>
      </c>
      <c r="Z311" s="834">
        <v>4394.9622351879843</v>
      </c>
      <c r="AA311" s="881">
        <v>11552.158957494439</v>
      </c>
      <c r="AB311" s="875">
        <v>0.34399999999999997</v>
      </c>
      <c r="AC311" s="834">
        <v>3973.9426813780869</v>
      </c>
      <c r="AD311" s="881">
        <v>11635.880451722911</v>
      </c>
      <c r="AE311" s="875">
        <v>0.34399999999999997</v>
      </c>
      <c r="AF311" s="834">
        <v>4002.7428753926811</v>
      </c>
      <c r="AG311" s="881">
        <v>13391.907496579703</v>
      </c>
      <c r="AH311" s="875">
        <v>0.34399999999999997</v>
      </c>
      <c r="AI311" s="834">
        <v>4606.8161788234174</v>
      </c>
      <c r="AJ311" s="881">
        <v>13485.861772785223</v>
      </c>
      <c r="AK311" s="875">
        <v>0.34399999999999997</v>
      </c>
      <c r="AL311" s="834">
        <v>4639.1364498381163</v>
      </c>
      <c r="AM311" s="881">
        <v>9072.2607736356331</v>
      </c>
      <c r="AN311" s="875">
        <v>0.34399999999999997</v>
      </c>
      <c r="AO311" s="834">
        <v>3120.8577061306573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3420100</v>
      </c>
      <c r="D312" s="914">
        <v>0.315048682787053</v>
      </c>
      <c r="E312" s="915">
        <v>1077498</v>
      </c>
      <c r="F312" s="913">
        <v>217917.55314589941</v>
      </c>
      <c r="G312" s="914">
        <v>0.31207063962877923</v>
      </c>
      <c r="H312" s="915">
        <v>68005.670196579318</v>
      </c>
      <c r="I312" s="913">
        <v>207820.95810403911</v>
      </c>
      <c r="J312" s="914">
        <v>0.31051358530382706</v>
      </c>
      <c r="K312" s="915">
        <v>64531.230802161619</v>
      </c>
      <c r="L312" s="913">
        <v>282162.42319902696</v>
      </c>
      <c r="M312" s="914">
        <v>0.31297280022358154</v>
      </c>
      <c r="N312" s="915">
        <v>88309.163706470732</v>
      </c>
      <c r="O312" s="913">
        <v>282191.96635440463</v>
      </c>
      <c r="P312" s="914">
        <v>0.30756897074518985</v>
      </c>
      <c r="Q312" s="915">
        <v>86793.492644185477</v>
      </c>
      <c r="R312" s="913">
        <v>357915.51995194331</v>
      </c>
      <c r="S312" s="914">
        <v>0.32129063944731368</v>
      </c>
      <c r="T312" s="915">
        <v>114994.90627347762</v>
      </c>
      <c r="U312" s="913">
        <v>290766.23617889581</v>
      </c>
      <c r="V312" s="914">
        <v>0.3202536658169679</v>
      </c>
      <c r="W312" s="915">
        <v>93118.953032093661</v>
      </c>
      <c r="X312" s="913">
        <v>283406.72836133098</v>
      </c>
      <c r="Y312" s="914">
        <v>0.32842928826429768</v>
      </c>
      <c r="Z312" s="915">
        <v>93079.070085025087</v>
      </c>
      <c r="AA312" s="913">
        <v>239931.39064414869</v>
      </c>
      <c r="AB312" s="914">
        <v>0.32497447083633735</v>
      </c>
      <c r="AC312" s="915">
        <v>77971.576711608766</v>
      </c>
      <c r="AD312" s="913">
        <v>301442.75219998328</v>
      </c>
      <c r="AE312" s="914">
        <v>0.32014065325042829</v>
      </c>
      <c r="AF312" s="915">
        <v>96504.079606909625</v>
      </c>
      <c r="AG312" s="913">
        <v>326371.75467890356</v>
      </c>
      <c r="AH312" s="914">
        <v>0.30917849499838596</v>
      </c>
      <c r="AI312" s="915">
        <v>100907.12792160583</v>
      </c>
      <c r="AJ312" s="913">
        <v>391682.83512914623</v>
      </c>
      <c r="AK312" s="914">
        <v>0.30527663726557924</v>
      </c>
      <c r="AL312" s="915">
        <v>119571.61878287405</v>
      </c>
      <c r="AM312" s="913">
        <v>238489.88205227797</v>
      </c>
      <c r="AN312" s="914">
        <v>0.30907437079804673</v>
      </c>
      <c r="AO312" s="915">
        <v>73711.110237008194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3420100</v>
      </c>
      <c r="D317" s="920">
        <v>0.315048682787053</v>
      </c>
      <c r="E317" s="824">
        <v>1077498</v>
      </c>
      <c r="F317" s="822">
        <v>217917.55314589941</v>
      </c>
      <c r="G317" s="920">
        <v>0.31207063962877923</v>
      </c>
      <c r="H317" s="824">
        <v>68005.670196579318</v>
      </c>
      <c r="I317" s="822">
        <v>207820.95810403911</v>
      </c>
      <c r="J317" s="920">
        <v>0.31051358530382706</v>
      </c>
      <c r="K317" s="824">
        <v>64531.230802161619</v>
      </c>
      <c r="L317" s="822">
        <v>282162.42319902696</v>
      </c>
      <c r="M317" s="920">
        <v>0.31297280022358154</v>
      </c>
      <c r="N317" s="824">
        <v>88309.163706470732</v>
      </c>
      <c r="O317" s="822">
        <v>282191.96635440463</v>
      </c>
      <c r="P317" s="920">
        <v>0.30756897074518985</v>
      </c>
      <c r="Q317" s="824">
        <v>86793.492644185477</v>
      </c>
      <c r="R317" s="822">
        <v>357915.51995194331</v>
      </c>
      <c r="S317" s="920">
        <v>0.32129063944731368</v>
      </c>
      <c r="T317" s="824">
        <v>114994.90627347762</v>
      </c>
      <c r="U317" s="822">
        <v>290766.23617889581</v>
      </c>
      <c r="V317" s="920">
        <v>0.3202536658169679</v>
      </c>
      <c r="W317" s="824">
        <v>93118.953032093661</v>
      </c>
      <c r="X317" s="822">
        <v>283406.72836133098</v>
      </c>
      <c r="Y317" s="920">
        <v>0.32842928826429768</v>
      </c>
      <c r="Z317" s="824">
        <v>93079.070085025087</v>
      </c>
      <c r="AA317" s="822">
        <v>239931.39064414869</v>
      </c>
      <c r="AB317" s="920">
        <v>0.32497447083633735</v>
      </c>
      <c r="AC317" s="824">
        <v>77971.576711608766</v>
      </c>
      <c r="AD317" s="822">
        <v>301442.75219998328</v>
      </c>
      <c r="AE317" s="920">
        <v>0.32014065325042829</v>
      </c>
      <c r="AF317" s="824">
        <v>96504.079606909625</v>
      </c>
      <c r="AG317" s="822">
        <v>326371.75467890356</v>
      </c>
      <c r="AH317" s="920">
        <v>0.30917849499838596</v>
      </c>
      <c r="AI317" s="824">
        <v>100907.12792160583</v>
      </c>
      <c r="AJ317" s="822">
        <v>391682.83512914623</v>
      </c>
      <c r="AK317" s="920">
        <v>0.30527663726557924</v>
      </c>
      <c r="AL317" s="824">
        <v>119571.61878287405</v>
      </c>
      <c r="AM317" s="822">
        <v>238489.88205227797</v>
      </c>
      <c r="AN317" s="920">
        <v>0.30907437079804673</v>
      </c>
      <c r="AO317" s="824">
        <v>73711.110237008194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51145.723076923074</v>
      </c>
      <c r="F321" s="812"/>
      <c r="G321" s="820"/>
      <c r="H321" s="834">
        <v>4325.9966696139118</v>
      </c>
      <c r="I321" s="812"/>
      <c r="J321" s="820"/>
      <c r="K321" s="834">
        <v>4172.7492779251406</v>
      </c>
      <c r="L321" s="812"/>
      <c r="M321" s="820"/>
      <c r="N321" s="834">
        <v>4223.8317418213974</v>
      </c>
      <c r="O321" s="812"/>
      <c r="P321" s="820"/>
      <c r="Q321" s="834">
        <v>4274.9142057176541</v>
      </c>
      <c r="R321" s="812"/>
      <c r="S321" s="820"/>
      <c r="T321" s="834">
        <v>4274.9142057176541</v>
      </c>
      <c r="U321" s="812"/>
      <c r="V321" s="820"/>
      <c r="W321" s="834">
        <v>4223.8317418213974</v>
      </c>
      <c r="X321" s="812"/>
      <c r="Y321" s="820"/>
      <c r="Z321" s="834">
        <v>4325.9966696139118</v>
      </c>
      <c r="AA321" s="812"/>
      <c r="AB321" s="820"/>
      <c r="AC321" s="834">
        <v>4223.8317418213974</v>
      </c>
      <c r="AD321" s="812"/>
      <c r="AE321" s="820"/>
      <c r="AF321" s="834">
        <v>4274.9142057176541</v>
      </c>
      <c r="AG321" s="812"/>
      <c r="AH321" s="820"/>
      <c r="AI321" s="834">
        <v>4325.9966696139118</v>
      </c>
      <c r="AJ321" s="812"/>
      <c r="AK321" s="820"/>
      <c r="AL321" s="834">
        <v>4172.7492779251406</v>
      </c>
      <c r="AM321" s="812"/>
      <c r="AN321" s="820"/>
      <c r="AO321" s="834">
        <v>4325.9966696139118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33795.4</v>
      </c>
      <c r="F322" s="812"/>
      <c r="G322" s="820"/>
      <c r="H322" s="834">
        <v>2917.7478927203065</v>
      </c>
      <c r="I322" s="812"/>
      <c r="J322" s="820"/>
      <c r="K322" s="834">
        <v>2674.232950191571</v>
      </c>
      <c r="L322" s="812"/>
      <c r="M322" s="820"/>
      <c r="N322" s="834">
        <v>2755.4045977011497</v>
      </c>
      <c r="O322" s="812"/>
      <c r="P322" s="820"/>
      <c r="Q322" s="834">
        <v>2836.5762452107283</v>
      </c>
      <c r="R322" s="812"/>
      <c r="S322" s="820"/>
      <c r="T322" s="834">
        <v>2836.5762452107283</v>
      </c>
      <c r="U322" s="812"/>
      <c r="V322" s="820"/>
      <c r="W322" s="834">
        <v>2755.4045977011497</v>
      </c>
      <c r="X322" s="812"/>
      <c r="Y322" s="820"/>
      <c r="Z322" s="834">
        <v>2917.7478927203065</v>
      </c>
      <c r="AA322" s="812"/>
      <c r="AB322" s="820"/>
      <c r="AC322" s="834">
        <v>2755.4045977011497</v>
      </c>
      <c r="AD322" s="812"/>
      <c r="AE322" s="820"/>
      <c r="AF322" s="834">
        <v>2836.5762452107283</v>
      </c>
      <c r="AG322" s="812"/>
      <c r="AH322" s="820"/>
      <c r="AI322" s="834">
        <v>2917.7478927203065</v>
      </c>
      <c r="AJ322" s="812"/>
      <c r="AK322" s="820"/>
      <c r="AL322" s="834">
        <v>2674.232950191571</v>
      </c>
      <c r="AM322" s="812"/>
      <c r="AN322" s="820"/>
      <c r="AO322" s="834">
        <v>2917.7478927203065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170693.44</v>
      </c>
      <c r="F323" s="842"/>
      <c r="G323" s="843"/>
      <c r="H323" s="844">
        <v>15429.558697318007</v>
      </c>
      <c r="I323" s="842"/>
      <c r="J323" s="843"/>
      <c r="K323" s="844">
        <v>14037.305823754788</v>
      </c>
      <c r="L323" s="842"/>
      <c r="M323" s="843"/>
      <c r="N323" s="844">
        <v>13251.390114942529</v>
      </c>
      <c r="O323" s="842"/>
      <c r="P323" s="843"/>
      <c r="Q323" s="844">
        <v>13715.474406130268</v>
      </c>
      <c r="R323" s="842"/>
      <c r="S323" s="843"/>
      <c r="T323" s="844">
        <v>13715.474406130268</v>
      </c>
      <c r="U323" s="842"/>
      <c r="V323" s="843"/>
      <c r="W323" s="844">
        <v>13251.390114942529</v>
      </c>
      <c r="X323" s="842"/>
      <c r="Y323" s="843"/>
      <c r="Z323" s="844">
        <v>14179.558697318007</v>
      </c>
      <c r="AA323" s="842"/>
      <c r="AB323" s="843"/>
      <c r="AC323" s="844">
        <v>13251.390114942529</v>
      </c>
      <c r="AD323" s="842"/>
      <c r="AE323" s="843"/>
      <c r="AF323" s="844">
        <v>14965.474406130268</v>
      </c>
      <c r="AG323" s="842"/>
      <c r="AH323" s="843"/>
      <c r="AI323" s="844">
        <v>15429.558697318007</v>
      </c>
      <c r="AJ323" s="842"/>
      <c r="AK323" s="843"/>
      <c r="AL323" s="844">
        <v>14037.305823754788</v>
      </c>
      <c r="AM323" s="842"/>
      <c r="AN323" s="843"/>
      <c r="AO323" s="844">
        <v>15429.558697318007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33971.985520669259</v>
      </c>
      <c r="F328" s="812"/>
      <c r="G328" s="820"/>
      <c r="H328" s="834">
        <v>3612.304313020999</v>
      </c>
      <c r="I328" s="812"/>
      <c r="J328" s="820"/>
      <c r="K328" s="834">
        <v>2167.5612001650456</v>
      </c>
      <c r="L328" s="812"/>
      <c r="M328" s="820"/>
      <c r="N328" s="834">
        <v>2115.6766708399646</v>
      </c>
      <c r="O328" s="812"/>
      <c r="P328" s="820"/>
      <c r="Q328" s="834">
        <v>2759.054272306129</v>
      </c>
      <c r="R328" s="812"/>
      <c r="S328" s="820"/>
      <c r="T328" s="834">
        <v>2759.054272306129</v>
      </c>
      <c r="U328" s="812"/>
      <c r="V328" s="820"/>
      <c r="W328" s="834">
        <v>2679.1297096568574</v>
      </c>
      <c r="X328" s="812"/>
      <c r="Y328" s="820"/>
      <c r="Z328" s="834">
        <v>2838.9788349554005</v>
      </c>
      <c r="AA328" s="812"/>
      <c r="AB328" s="820"/>
      <c r="AC328" s="834">
        <v>2115.6766708399646</v>
      </c>
      <c r="AD328" s="812"/>
      <c r="AE328" s="820"/>
      <c r="AF328" s="834">
        <v>2904.6813999561291</v>
      </c>
      <c r="AG328" s="812"/>
      <c r="AH328" s="820"/>
      <c r="AI328" s="834">
        <v>2984.6059626054007</v>
      </c>
      <c r="AJ328" s="812"/>
      <c r="AK328" s="820"/>
      <c r="AL328" s="834">
        <v>2167.5612001650456</v>
      </c>
      <c r="AM328" s="812"/>
      <c r="AN328" s="820"/>
      <c r="AO328" s="834">
        <v>4867.7010138521946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38971.385119418388</v>
      </c>
      <c r="F329" s="842"/>
      <c r="G329" s="843"/>
      <c r="H329" s="844">
        <v>4457.6296143589743</v>
      </c>
      <c r="I329" s="842"/>
      <c r="J329" s="843"/>
      <c r="K329" s="844">
        <v>3757.8914285470087</v>
      </c>
      <c r="L329" s="842"/>
      <c r="M329" s="843"/>
      <c r="N329" s="844">
        <v>3196.5114918125555</v>
      </c>
      <c r="O329" s="842"/>
      <c r="P329" s="843"/>
      <c r="Q329" s="844">
        <v>3220.8231657176543</v>
      </c>
      <c r="R329" s="842"/>
      <c r="S329" s="843"/>
      <c r="T329" s="844">
        <v>3162.0255586697735</v>
      </c>
      <c r="U329" s="842"/>
      <c r="V329" s="843"/>
      <c r="W329" s="844">
        <v>3081.5290640495141</v>
      </c>
      <c r="X329" s="842"/>
      <c r="Y329" s="843"/>
      <c r="Z329" s="844">
        <v>3265.3871742764518</v>
      </c>
      <c r="AA329" s="842"/>
      <c r="AB329" s="843"/>
      <c r="AC329" s="844">
        <v>3024.0378501679934</v>
      </c>
      <c r="AD329" s="842"/>
      <c r="AE329" s="843"/>
      <c r="AF329" s="844">
        <v>3091.632886389626</v>
      </c>
      <c r="AG329" s="842"/>
      <c r="AH329" s="843"/>
      <c r="AI329" s="844">
        <v>3048.6087592455056</v>
      </c>
      <c r="AJ329" s="842"/>
      <c r="AK329" s="843"/>
      <c r="AL329" s="844">
        <v>2744.7921719481287</v>
      </c>
      <c r="AM329" s="842"/>
      <c r="AN329" s="843"/>
      <c r="AO329" s="844">
        <v>2920.5159542351903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20274.251630769235</v>
      </c>
      <c r="F330" s="812"/>
      <c r="G330" s="820"/>
      <c r="H330" s="834">
        <v>1793.299270144415</v>
      </c>
      <c r="I330" s="812"/>
      <c r="J330" s="820"/>
      <c r="K330" s="834">
        <v>1649.2313479516654</v>
      </c>
      <c r="L330" s="812"/>
      <c r="M330" s="820"/>
      <c r="N330" s="834">
        <v>1609.7539886825821</v>
      </c>
      <c r="O330" s="812"/>
      <c r="P330" s="820"/>
      <c r="Q330" s="834">
        <v>1657.7766294134985</v>
      </c>
      <c r="R330" s="812"/>
      <c r="S330" s="820"/>
      <c r="T330" s="834">
        <v>1657.7766294134985</v>
      </c>
      <c r="U330" s="812"/>
      <c r="V330" s="820"/>
      <c r="W330" s="834">
        <v>1609.7539886825821</v>
      </c>
      <c r="X330" s="812"/>
      <c r="Y330" s="820"/>
      <c r="Z330" s="834">
        <v>1705.799270144415</v>
      </c>
      <c r="AA330" s="812"/>
      <c r="AB330" s="820"/>
      <c r="AC330" s="834">
        <v>1609.7539886825821</v>
      </c>
      <c r="AD330" s="812"/>
      <c r="AE330" s="820"/>
      <c r="AF330" s="834">
        <v>1745.2766294134985</v>
      </c>
      <c r="AG330" s="812"/>
      <c r="AH330" s="820"/>
      <c r="AI330" s="834">
        <v>1793.299270144415</v>
      </c>
      <c r="AJ330" s="812"/>
      <c r="AK330" s="820"/>
      <c r="AL330" s="834">
        <v>1649.2313479516654</v>
      </c>
      <c r="AM330" s="812"/>
      <c r="AN330" s="820"/>
      <c r="AO330" s="834">
        <v>1793.299270144415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4344.4824923076922</v>
      </c>
      <c r="F331" s="812"/>
      <c r="G331" s="820"/>
      <c r="H331" s="834">
        <v>384.27841503094606</v>
      </c>
      <c r="I331" s="812"/>
      <c r="J331" s="820"/>
      <c r="K331" s="834">
        <v>353.40671741821399</v>
      </c>
      <c r="L331" s="812"/>
      <c r="M331" s="820"/>
      <c r="N331" s="834">
        <v>344.94728328912464</v>
      </c>
      <c r="O331" s="812"/>
      <c r="P331" s="820"/>
      <c r="Q331" s="834">
        <v>355.23784916003535</v>
      </c>
      <c r="R331" s="812"/>
      <c r="S331" s="820"/>
      <c r="T331" s="834">
        <v>355.23784916003535</v>
      </c>
      <c r="U331" s="812"/>
      <c r="V331" s="820"/>
      <c r="W331" s="834">
        <v>344.94728328912464</v>
      </c>
      <c r="X331" s="812"/>
      <c r="Y331" s="820"/>
      <c r="Z331" s="834">
        <v>365.52841503094606</v>
      </c>
      <c r="AA331" s="812"/>
      <c r="AB331" s="820"/>
      <c r="AC331" s="834">
        <v>344.94728328912464</v>
      </c>
      <c r="AD331" s="812"/>
      <c r="AE331" s="820"/>
      <c r="AF331" s="834">
        <v>373.98784916003535</v>
      </c>
      <c r="AG331" s="812"/>
      <c r="AH331" s="820"/>
      <c r="AI331" s="834">
        <v>384.27841503094606</v>
      </c>
      <c r="AJ331" s="812"/>
      <c r="AK331" s="820"/>
      <c r="AL331" s="834">
        <v>353.40671741821399</v>
      </c>
      <c r="AM331" s="812"/>
      <c r="AN331" s="820"/>
      <c r="AO331" s="834">
        <v>384.27841503094606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0.32779333960720819</v>
      </c>
      <c r="E333" s="841">
        <v>353196.66784008761</v>
      </c>
      <c r="F333" s="839" t="s">
        <v>108</v>
      </c>
      <c r="G333" s="840">
        <v>0.48408926457228679</v>
      </c>
      <c r="H333" s="841">
        <v>32920.814872207564</v>
      </c>
      <c r="I333" s="839" t="s">
        <v>108</v>
      </c>
      <c r="J333" s="840">
        <v>0.44648735794743738</v>
      </c>
      <c r="K333" s="841">
        <v>28812.378745953432</v>
      </c>
      <c r="L333" s="839" t="s">
        <v>108</v>
      </c>
      <c r="M333" s="840">
        <v>0.31137783141608966</v>
      </c>
      <c r="N333" s="841">
        <v>27497.515889089307</v>
      </c>
      <c r="O333" s="839" t="s">
        <v>108</v>
      </c>
      <c r="P333" s="840">
        <v>0.33205089339824706</v>
      </c>
      <c r="Q333" s="841">
        <v>28819.856773655971</v>
      </c>
      <c r="R333" s="839" t="s">
        <v>108</v>
      </c>
      <c r="S333" s="840">
        <v>0.25010724473490464</v>
      </c>
      <c r="T333" s="841">
        <v>28761.059166608091</v>
      </c>
      <c r="U333" s="839" t="s">
        <v>108</v>
      </c>
      <c r="V333" s="840">
        <v>0.30011061755077412</v>
      </c>
      <c r="W333" s="841">
        <v>27945.986500143157</v>
      </c>
      <c r="X333" s="839" t="s">
        <v>108</v>
      </c>
      <c r="Y333" s="840">
        <v>0.31799841712021398</v>
      </c>
      <c r="Z333" s="841">
        <v>29598.996954059439</v>
      </c>
      <c r="AA333" s="839" t="s">
        <v>108</v>
      </c>
      <c r="AB333" s="840">
        <v>0.35044875837910905</v>
      </c>
      <c r="AC333" s="841">
        <v>27325.042247444748</v>
      </c>
      <c r="AD333" s="839" t="s">
        <v>108</v>
      </c>
      <c r="AE333" s="840">
        <v>0.31286287320661804</v>
      </c>
      <c r="AF333" s="841">
        <v>30192.54362197794</v>
      </c>
      <c r="AG333" s="839" t="s">
        <v>108</v>
      </c>
      <c r="AH333" s="840">
        <v>0.30606455958861667</v>
      </c>
      <c r="AI333" s="841">
        <v>30884.095666678491</v>
      </c>
      <c r="AJ333" s="839" t="s">
        <v>108</v>
      </c>
      <c r="AK333" s="840">
        <v>0.23249061752550407</v>
      </c>
      <c r="AL333" s="841">
        <v>27799.279489354551</v>
      </c>
      <c r="AM333" s="839" t="s">
        <v>108</v>
      </c>
      <c r="AN333" s="840">
        <v>0.4427975349708928</v>
      </c>
      <c r="AO333" s="841">
        <v>32639.097912914971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36636.950000000004</v>
      </c>
      <c r="F334" s="812"/>
      <c r="G334" s="820"/>
      <c r="H334" s="834">
        <v>2479.3231392427779</v>
      </c>
      <c r="I334" s="812"/>
      <c r="J334" s="820"/>
      <c r="K334" s="834">
        <v>3509.2545237313079</v>
      </c>
      <c r="L334" s="812"/>
      <c r="M334" s="820"/>
      <c r="N334" s="834">
        <v>3530.3988806359148</v>
      </c>
      <c r="O334" s="812"/>
      <c r="P334" s="820"/>
      <c r="Q334" s="834">
        <v>3614.631435814646</v>
      </c>
      <c r="R334" s="812"/>
      <c r="S334" s="820"/>
      <c r="T334" s="834">
        <v>2612.5755286127569</v>
      </c>
      <c r="U334" s="812"/>
      <c r="V334" s="820"/>
      <c r="W334" s="834">
        <v>2535.0526389964471</v>
      </c>
      <c r="X334" s="812"/>
      <c r="Y334" s="820"/>
      <c r="Z334" s="834">
        <v>2534.5917130619696</v>
      </c>
      <c r="AA334" s="812"/>
      <c r="AB334" s="820"/>
      <c r="AC334" s="834">
        <v>2522.5905926929549</v>
      </c>
      <c r="AD334" s="812"/>
      <c r="AE334" s="820"/>
      <c r="AF334" s="834">
        <v>2516.8683985943048</v>
      </c>
      <c r="AG334" s="812"/>
      <c r="AH334" s="820"/>
      <c r="AI334" s="834">
        <v>3617.2355975606752</v>
      </c>
      <c r="AJ334" s="812"/>
      <c r="AK334" s="820"/>
      <c r="AL334" s="834">
        <v>3642.0826464127581</v>
      </c>
      <c r="AM334" s="812"/>
      <c r="AN334" s="820"/>
      <c r="AO334" s="834">
        <v>3522.344904643483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6900</v>
      </c>
      <c r="F335" s="812"/>
      <c r="G335" s="820"/>
      <c r="H335" s="834">
        <v>575</v>
      </c>
      <c r="I335" s="812"/>
      <c r="J335" s="820"/>
      <c r="K335" s="834">
        <v>575</v>
      </c>
      <c r="L335" s="812"/>
      <c r="M335" s="820"/>
      <c r="N335" s="834">
        <v>575</v>
      </c>
      <c r="O335" s="812"/>
      <c r="P335" s="820"/>
      <c r="Q335" s="834">
        <v>575</v>
      </c>
      <c r="R335" s="812"/>
      <c r="S335" s="820"/>
      <c r="T335" s="834">
        <v>575</v>
      </c>
      <c r="U335" s="812"/>
      <c r="V335" s="820"/>
      <c r="W335" s="834">
        <v>575</v>
      </c>
      <c r="X335" s="812"/>
      <c r="Y335" s="820"/>
      <c r="Z335" s="834">
        <v>575</v>
      </c>
      <c r="AA335" s="812"/>
      <c r="AB335" s="820"/>
      <c r="AC335" s="834">
        <v>575</v>
      </c>
      <c r="AD335" s="812"/>
      <c r="AE335" s="820"/>
      <c r="AF335" s="834">
        <v>575</v>
      </c>
      <c r="AG335" s="812"/>
      <c r="AH335" s="820"/>
      <c r="AI335" s="834">
        <v>575</v>
      </c>
      <c r="AJ335" s="812"/>
      <c r="AK335" s="820"/>
      <c r="AL335" s="834">
        <v>575</v>
      </c>
      <c r="AM335" s="812"/>
      <c r="AN335" s="820"/>
      <c r="AO335" s="834">
        <v>575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60947.200000000004</v>
      </c>
      <c r="F336" s="838"/>
      <c r="G336" s="845"/>
      <c r="H336" s="837">
        <v>3453.9333333333334</v>
      </c>
      <c r="I336" s="838"/>
      <c r="J336" s="845"/>
      <c r="K336" s="837">
        <v>3453.9333333333334</v>
      </c>
      <c r="L336" s="838"/>
      <c r="M336" s="845"/>
      <c r="N336" s="837">
        <v>6053.9333333333334</v>
      </c>
      <c r="O336" s="838"/>
      <c r="P336" s="845"/>
      <c r="Q336" s="837">
        <v>6053.9333333333334</v>
      </c>
      <c r="R336" s="838"/>
      <c r="S336" s="845"/>
      <c r="T336" s="837">
        <v>6053.9333333333334</v>
      </c>
      <c r="U336" s="838"/>
      <c r="V336" s="845"/>
      <c r="W336" s="837">
        <v>4753.9333333333334</v>
      </c>
      <c r="X336" s="838"/>
      <c r="Y336" s="845"/>
      <c r="Z336" s="837">
        <v>4753.9333333333334</v>
      </c>
      <c r="AA336" s="838"/>
      <c r="AB336" s="845"/>
      <c r="AC336" s="837">
        <v>5403.9333333333334</v>
      </c>
      <c r="AD336" s="838"/>
      <c r="AE336" s="845"/>
      <c r="AF336" s="837">
        <v>5403.9333333333334</v>
      </c>
      <c r="AG336" s="838"/>
      <c r="AH336" s="845"/>
      <c r="AI336" s="837">
        <v>6053.9333333333334</v>
      </c>
      <c r="AJ336" s="838"/>
      <c r="AK336" s="845"/>
      <c r="AL336" s="837">
        <v>6053.9333333333334</v>
      </c>
      <c r="AM336" s="838"/>
      <c r="AN336" s="845"/>
      <c r="AO336" s="837">
        <v>3453.9333333333334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21921.599999999995</v>
      </c>
      <c r="F337" s="812"/>
      <c r="G337" s="820"/>
      <c r="H337" s="834">
        <v>1826.8000000000002</v>
      </c>
      <c r="I337" s="812"/>
      <c r="J337" s="820"/>
      <c r="K337" s="834">
        <v>1826.8000000000002</v>
      </c>
      <c r="L337" s="812"/>
      <c r="M337" s="820"/>
      <c r="N337" s="834">
        <v>1826.8000000000002</v>
      </c>
      <c r="O337" s="812"/>
      <c r="P337" s="820"/>
      <c r="Q337" s="834">
        <v>1826.8000000000002</v>
      </c>
      <c r="R337" s="812"/>
      <c r="S337" s="820"/>
      <c r="T337" s="834">
        <v>1826.8000000000002</v>
      </c>
      <c r="U337" s="812"/>
      <c r="V337" s="820"/>
      <c r="W337" s="834">
        <v>1826.8000000000002</v>
      </c>
      <c r="X337" s="812"/>
      <c r="Y337" s="820"/>
      <c r="Z337" s="834">
        <v>1826.8000000000002</v>
      </c>
      <c r="AA337" s="812"/>
      <c r="AB337" s="820"/>
      <c r="AC337" s="834">
        <v>1826.8000000000002</v>
      </c>
      <c r="AD337" s="812"/>
      <c r="AE337" s="820"/>
      <c r="AF337" s="834">
        <v>1826.8000000000002</v>
      </c>
      <c r="AG337" s="812"/>
      <c r="AH337" s="820"/>
      <c r="AI337" s="834">
        <v>1826.8000000000002</v>
      </c>
      <c r="AJ337" s="812"/>
      <c r="AK337" s="820"/>
      <c r="AL337" s="834">
        <v>1826.8000000000002</v>
      </c>
      <c r="AM337" s="812"/>
      <c r="AN337" s="820"/>
      <c r="AO337" s="834">
        <v>1826.8000000000002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4399.9999999999991</v>
      </c>
      <c r="F338" s="812"/>
      <c r="G338" s="820"/>
      <c r="H338" s="834">
        <v>366.66666666666669</v>
      </c>
      <c r="I338" s="812"/>
      <c r="J338" s="820"/>
      <c r="K338" s="834">
        <v>366.66666666666669</v>
      </c>
      <c r="L338" s="812"/>
      <c r="M338" s="820"/>
      <c r="N338" s="834">
        <v>366.66666666666669</v>
      </c>
      <c r="O338" s="812"/>
      <c r="P338" s="820"/>
      <c r="Q338" s="834">
        <v>366.66666666666669</v>
      </c>
      <c r="R338" s="812"/>
      <c r="S338" s="820"/>
      <c r="T338" s="834">
        <v>366.66666666666669</v>
      </c>
      <c r="U338" s="812"/>
      <c r="V338" s="820"/>
      <c r="W338" s="834">
        <v>366.66666666666669</v>
      </c>
      <c r="X338" s="812"/>
      <c r="Y338" s="820"/>
      <c r="Z338" s="834">
        <v>366.66666666666669</v>
      </c>
      <c r="AA338" s="812"/>
      <c r="AB338" s="820"/>
      <c r="AC338" s="834">
        <v>366.66666666666669</v>
      </c>
      <c r="AD338" s="812"/>
      <c r="AE338" s="820"/>
      <c r="AF338" s="834">
        <v>366.66666666666669</v>
      </c>
      <c r="AG338" s="812"/>
      <c r="AH338" s="820"/>
      <c r="AI338" s="834">
        <v>366.66666666666669</v>
      </c>
      <c r="AJ338" s="812"/>
      <c r="AK338" s="820"/>
      <c r="AL338" s="834">
        <v>366.66666666666669</v>
      </c>
      <c r="AM338" s="812"/>
      <c r="AN338" s="820"/>
      <c r="AO338" s="834">
        <v>366.66666666666669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24278.400000000005</v>
      </c>
      <c r="F339" s="838"/>
      <c r="G339" s="845"/>
      <c r="H339" s="837">
        <v>2023.2</v>
      </c>
      <c r="I339" s="838"/>
      <c r="J339" s="845"/>
      <c r="K339" s="837">
        <v>2023.2</v>
      </c>
      <c r="L339" s="838"/>
      <c r="M339" s="845"/>
      <c r="N339" s="837">
        <v>2023.2</v>
      </c>
      <c r="O339" s="838"/>
      <c r="P339" s="845"/>
      <c r="Q339" s="837">
        <v>2023.2</v>
      </c>
      <c r="R339" s="838"/>
      <c r="S339" s="845"/>
      <c r="T339" s="837">
        <v>2023.2</v>
      </c>
      <c r="U339" s="838"/>
      <c r="V339" s="845"/>
      <c r="W339" s="837">
        <v>2023.2</v>
      </c>
      <c r="X339" s="838"/>
      <c r="Y339" s="845"/>
      <c r="Z339" s="837">
        <v>2023.2</v>
      </c>
      <c r="AA339" s="838"/>
      <c r="AB339" s="845"/>
      <c r="AC339" s="837">
        <v>2023.2</v>
      </c>
      <c r="AD339" s="838"/>
      <c r="AE339" s="845"/>
      <c r="AF339" s="837">
        <v>2023.2</v>
      </c>
      <c r="AG339" s="838"/>
      <c r="AH339" s="845"/>
      <c r="AI339" s="837">
        <v>2023.2</v>
      </c>
      <c r="AJ339" s="838"/>
      <c r="AK339" s="845"/>
      <c r="AL339" s="837">
        <v>2023.2</v>
      </c>
      <c r="AM339" s="838"/>
      <c r="AN339" s="845"/>
      <c r="AO339" s="837">
        <v>2023.2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120</v>
      </c>
      <c r="F341" s="812"/>
      <c r="G341" s="820"/>
      <c r="H341" s="834">
        <v>10</v>
      </c>
      <c r="I341" s="812"/>
      <c r="J341" s="820"/>
      <c r="K341" s="834">
        <v>10</v>
      </c>
      <c r="L341" s="812"/>
      <c r="M341" s="820"/>
      <c r="N341" s="834">
        <v>10</v>
      </c>
      <c r="O341" s="812"/>
      <c r="P341" s="820"/>
      <c r="Q341" s="834">
        <v>10</v>
      </c>
      <c r="R341" s="812"/>
      <c r="S341" s="820"/>
      <c r="T341" s="834">
        <v>10</v>
      </c>
      <c r="U341" s="812"/>
      <c r="V341" s="820"/>
      <c r="W341" s="834">
        <v>10</v>
      </c>
      <c r="X341" s="812"/>
      <c r="Y341" s="820"/>
      <c r="Z341" s="834">
        <v>10</v>
      </c>
      <c r="AA341" s="812"/>
      <c r="AB341" s="820"/>
      <c r="AC341" s="834">
        <v>10</v>
      </c>
      <c r="AD341" s="812"/>
      <c r="AE341" s="820"/>
      <c r="AF341" s="834">
        <v>10</v>
      </c>
      <c r="AG341" s="812"/>
      <c r="AH341" s="820"/>
      <c r="AI341" s="834">
        <v>10</v>
      </c>
      <c r="AJ341" s="812"/>
      <c r="AK341" s="820"/>
      <c r="AL341" s="834">
        <v>10</v>
      </c>
      <c r="AM341" s="812"/>
      <c r="AN341" s="820"/>
      <c r="AO341" s="834">
        <v>10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240</v>
      </c>
      <c r="F342" s="812"/>
      <c r="G342" s="820"/>
      <c r="H342" s="834">
        <v>20</v>
      </c>
      <c r="I342" s="812"/>
      <c r="J342" s="820"/>
      <c r="K342" s="834">
        <v>20</v>
      </c>
      <c r="L342" s="812"/>
      <c r="M342" s="820"/>
      <c r="N342" s="834">
        <v>20</v>
      </c>
      <c r="O342" s="812"/>
      <c r="P342" s="820"/>
      <c r="Q342" s="834">
        <v>20</v>
      </c>
      <c r="R342" s="812"/>
      <c r="S342" s="820"/>
      <c r="T342" s="834">
        <v>20</v>
      </c>
      <c r="U342" s="812"/>
      <c r="V342" s="820"/>
      <c r="W342" s="834">
        <v>20</v>
      </c>
      <c r="X342" s="812"/>
      <c r="Y342" s="820"/>
      <c r="Z342" s="834">
        <v>20</v>
      </c>
      <c r="AA342" s="812"/>
      <c r="AB342" s="820"/>
      <c r="AC342" s="834">
        <v>20</v>
      </c>
      <c r="AD342" s="812"/>
      <c r="AE342" s="820"/>
      <c r="AF342" s="834">
        <v>20</v>
      </c>
      <c r="AG342" s="812"/>
      <c r="AH342" s="820"/>
      <c r="AI342" s="834">
        <v>20</v>
      </c>
      <c r="AJ342" s="812"/>
      <c r="AK342" s="820"/>
      <c r="AL342" s="834">
        <v>20</v>
      </c>
      <c r="AM342" s="812"/>
      <c r="AN342" s="820"/>
      <c r="AO342" s="834">
        <v>20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3780</v>
      </c>
      <c r="F343" s="812"/>
      <c r="G343" s="820"/>
      <c r="H343" s="834">
        <v>315</v>
      </c>
      <c r="I343" s="812"/>
      <c r="J343" s="820"/>
      <c r="K343" s="834">
        <v>315</v>
      </c>
      <c r="L343" s="812"/>
      <c r="M343" s="820"/>
      <c r="N343" s="834">
        <v>315</v>
      </c>
      <c r="O343" s="812"/>
      <c r="P343" s="820"/>
      <c r="Q343" s="834">
        <v>315</v>
      </c>
      <c r="R343" s="812"/>
      <c r="S343" s="820"/>
      <c r="T343" s="834">
        <v>315</v>
      </c>
      <c r="U343" s="812"/>
      <c r="V343" s="820"/>
      <c r="W343" s="834">
        <v>315</v>
      </c>
      <c r="X343" s="812"/>
      <c r="Y343" s="820"/>
      <c r="Z343" s="834">
        <v>315</v>
      </c>
      <c r="AA343" s="812"/>
      <c r="AB343" s="820"/>
      <c r="AC343" s="834">
        <v>315</v>
      </c>
      <c r="AD343" s="812"/>
      <c r="AE343" s="820"/>
      <c r="AF343" s="834">
        <v>315</v>
      </c>
      <c r="AG343" s="812"/>
      <c r="AH343" s="820"/>
      <c r="AI343" s="834">
        <v>315</v>
      </c>
      <c r="AJ343" s="812"/>
      <c r="AK343" s="820"/>
      <c r="AL343" s="834">
        <v>315</v>
      </c>
      <c r="AM343" s="812"/>
      <c r="AN343" s="820"/>
      <c r="AO343" s="834">
        <v>315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7080</v>
      </c>
      <c r="F345" s="812"/>
      <c r="G345" s="820"/>
      <c r="H345" s="834">
        <v>590</v>
      </c>
      <c r="I345" s="812"/>
      <c r="J345" s="820"/>
      <c r="K345" s="834">
        <v>590</v>
      </c>
      <c r="L345" s="812"/>
      <c r="M345" s="820"/>
      <c r="N345" s="834">
        <v>590</v>
      </c>
      <c r="O345" s="812"/>
      <c r="P345" s="820"/>
      <c r="Q345" s="834">
        <v>590</v>
      </c>
      <c r="R345" s="812"/>
      <c r="S345" s="820"/>
      <c r="T345" s="834">
        <v>590</v>
      </c>
      <c r="U345" s="812"/>
      <c r="V345" s="820"/>
      <c r="W345" s="834">
        <v>590</v>
      </c>
      <c r="X345" s="812"/>
      <c r="Y345" s="820"/>
      <c r="Z345" s="834">
        <v>590</v>
      </c>
      <c r="AA345" s="812"/>
      <c r="AB345" s="820"/>
      <c r="AC345" s="834">
        <v>590</v>
      </c>
      <c r="AD345" s="812"/>
      <c r="AE345" s="820"/>
      <c r="AF345" s="834">
        <v>590</v>
      </c>
      <c r="AG345" s="812"/>
      <c r="AH345" s="820"/>
      <c r="AI345" s="834">
        <v>590</v>
      </c>
      <c r="AJ345" s="812"/>
      <c r="AK345" s="820"/>
      <c r="AL345" s="834">
        <v>590</v>
      </c>
      <c r="AM345" s="812"/>
      <c r="AN345" s="820"/>
      <c r="AO345" s="834">
        <v>590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4178.3999999999996</v>
      </c>
      <c r="F346" s="812"/>
      <c r="G346" s="820"/>
      <c r="H346" s="834">
        <v>348.20000000000005</v>
      </c>
      <c r="I346" s="812"/>
      <c r="J346" s="820"/>
      <c r="K346" s="834">
        <v>348.20000000000005</v>
      </c>
      <c r="L346" s="812"/>
      <c r="M346" s="820"/>
      <c r="N346" s="834">
        <v>348.20000000000005</v>
      </c>
      <c r="O346" s="812"/>
      <c r="P346" s="820"/>
      <c r="Q346" s="834">
        <v>348.20000000000005</v>
      </c>
      <c r="R346" s="812"/>
      <c r="S346" s="820"/>
      <c r="T346" s="834">
        <v>348.20000000000005</v>
      </c>
      <c r="U346" s="812"/>
      <c r="V346" s="820"/>
      <c r="W346" s="834">
        <v>348.20000000000005</v>
      </c>
      <c r="X346" s="812"/>
      <c r="Y346" s="820"/>
      <c r="Z346" s="834">
        <v>348.20000000000005</v>
      </c>
      <c r="AA346" s="812"/>
      <c r="AB346" s="820"/>
      <c r="AC346" s="834">
        <v>348.20000000000005</v>
      </c>
      <c r="AD346" s="812"/>
      <c r="AE346" s="820"/>
      <c r="AF346" s="834">
        <v>348.20000000000005</v>
      </c>
      <c r="AG346" s="812"/>
      <c r="AH346" s="820"/>
      <c r="AI346" s="834">
        <v>348.20000000000005</v>
      </c>
      <c r="AJ346" s="812"/>
      <c r="AK346" s="820"/>
      <c r="AL346" s="834">
        <v>348.20000000000005</v>
      </c>
      <c r="AM346" s="812"/>
      <c r="AN346" s="820"/>
      <c r="AO346" s="834">
        <v>348.20000000000005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3076.9787199999987</v>
      </c>
      <c r="F347" s="812"/>
      <c r="G347" s="820"/>
      <c r="H347" s="834">
        <v>256.41489333333328</v>
      </c>
      <c r="I347" s="812"/>
      <c r="J347" s="820"/>
      <c r="K347" s="834">
        <v>256.41489333333328</v>
      </c>
      <c r="L347" s="812"/>
      <c r="M347" s="820"/>
      <c r="N347" s="834">
        <v>256.41489333333328</v>
      </c>
      <c r="O347" s="812"/>
      <c r="P347" s="820"/>
      <c r="Q347" s="834">
        <v>256.41489333333328</v>
      </c>
      <c r="R347" s="812"/>
      <c r="S347" s="820"/>
      <c r="T347" s="834">
        <v>256.41489333333328</v>
      </c>
      <c r="U347" s="812"/>
      <c r="V347" s="820"/>
      <c r="W347" s="834">
        <v>256.41489333333328</v>
      </c>
      <c r="X347" s="812"/>
      <c r="Y347" s="820"/>
      <c r="Z347" s="834">
        <v>256.41489333333328</v>
      </c>
      <c r="AA347" s="812"/>
      <c r="AB347" s="820"/>
      <c r="AC347" s="834">
        <v>256.41489333333328</v>
      </c>
      <c r="AD347" s="812"/>
      <c r="AE347" s="820"/>
      <c r="AF347" s="834">
        <v>256.41489333333328</v>
      </c>
      <c r="AG347" s="812"/>
      <c r="AH347" s="820"/>
      <c r="AI347" s="834">
        <v>256.41489333333328</v>
      </c>
      <c r="AJ347" s="812"/>
      <c r="AK347" s="820"/>
      <c r="AL347" s="834">
        <v>256.41489333333328</v>
      </c>
      <c r="AM347" s="812"/>
      <c r="AN347" s="820"/>
      <c r="AO347" s="834">
        <v>256.41489333333328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15705.270201176472</v>
      </c>
      <c r="F348" s="812"/>
      <c r="G348" s="820"/>
      <c r="H348" s="834">
        <v>879.17890384556199</v>
      </c>
      <c r="I348" s="812"/>
      <c r="J348" s="820"/>
      <c r="K348" s="834">
        <v>855.3704437102042</v>
      </c>
      <c r="L348" s="812"/>
      <c r="M348" s="820"/>
      <c r="N348" s="834">
        <v>1371.6028449767423</v>
      </c>
      <c r="O348" s="812"/>
      <c r="P348" s="820"/>
      <c r="Q348" s="834">
        <v>1814.843132016204</v>
      </c>
      <c r="R348" s="812"/>
      <c r="S348" s="820"/>
      <c r="T348" s="834">
        <v>1880.851754670854</v>
      </c>
      <c r="U348" s="812"/>
      <c r="V348" s="820"/>
      <c r="W348" s="834">
        <v>1315.6194111732602</v>
      </c>
      <c r="X348" s="812"/>
      <c r="Y348" s="820"/>
      <c r="Z348" s="834">
        <v>1194.5033640972972</v>
      </c>
      <c r="AA348" s="812"/>
      <c r="AB348" s="820"/>
      <c r="AC348" s="834">
        <v>1396.7275744878498</v>
      </c>
      <c r="AD348" s="812"/>
      <c r="AE348" s="820"/>
      <c r="AF348" s="834">
        <v>1387.5689334780946</v>
      </c>
      <c r="AG348" s="812"/>
      <c r="AH348" s="820"/>
      <c r="AI348" s="834">
        <v>1380.8281895631603</v>
      </c>
      <c r="AJ348" s="812"/>
      <c r="AK348" s="820"/>
      <c r="AL348" s="834">
        <v>1275.9239043321058</v>
      </c>
      <c r="AM348" s="812"/>
      <c r="AN348" s="820"/>
      <c r="AO348" s="834">
        <v>952.25174482513671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0.17697072191426474</v>
      </c>
      <c r="E352" s="841">
        <v>190685.59892117642</v>
      </c>
      <c r="F352" s="839" t="s">
        <v>108</v>
      </c>
      <c r="G352" s="840">
        <v>0.19501487005547893</v>
      </c>
      <c r="H352" s="841">
        <v>13262.116936421673</v>
      </c>
      <c r="I352" s="839" t="s">
        <v>108</v>
      </c>
      <c r="J352" s="840">
        <v>0.22110596192590981</v>
      </c>
      <c r="K352" s="841">
        <v>14268.239860774846</v>
      </c>
      <c r="L352" s="839" t="s">
        <v>108</v>
      </c>
      <c r="M352" s="840">
        <v>0.19709864626054224</v>
      </c>
      <c r="N352" s="841">
        <v>17405.616618945991</v>
      </c>
      <c r="O352" s="839" t="s">
        <v>108</v>
      </c>
      <c r="P352" s="840">
        <v>0.20661790319559822</v>
      </c>
      <c r="Q352" s="841">
        <v>17933.089461164182</v>
      </c>
      <c r="R352" s="839" t="s">
        <v>108</v>
      </c>
      <c r="S352" s="840">
        <v>0.14780691360533016</v>
      </c>
      <c r="T352" s="841">
        <v>16997.042176616946</v>
      </c>
      <c r="U352" s="839" t="s">
        <v>108</v>
      </c>
      <c r="V352" s="840">
        <v>0.161667270231384</v>
      </c>
      <c r="W352" s="841">
        <v>15054.286943503041</v>
      </c>
      <c r="X352" s="839" t="s">
        <v>108</v>
      </c>
      <c r="Y352" s="840">
        <v>0.16043037341103639</v>
      </c>
      <c r="Z352" s="841">
        <v>14932.709970492602</v>
      </c>
      <c r="AA352" s="839" t="s">
        <v>108</v>
      </c>
      <c r="AB352" s="840">
        <v>0.20229080551818304</v>
      </c>
      <c r="AC352" s="841">
        <v>15772.933060514139</v>
      </c>
      <c r="AD352" s="839" t="s">
        <v>108</v>
      </c>
      <c r="AE352" s="840">
        <v>0.16328897482461943</v>
      </c>
      <c r="AF352" s="841">
        <v>15758.052225405734</v>
      </c>
      <c r="AG352" s="839" t="s">
        <v>108</v>
      </c>
      <c r="AH352" s="840">
        <v>0.17344343299567619</v>
      </c>
      <c r="AI352" s="841">
        <v>17501.678680457168</v>
      </c>
      <c r="AJ352" s="839" t="s">
        <v>108</v>
      </c>
      <c r="AK352" s="840">
        <v>0.1457003059874393</v>
      </c>
      <c r="AL352" s="841">
        <v>17421.621444078195</v>
      </c>
      <c r="AM352" s="839" t="s">
        <v>108</v>
      </c>
      <c r="AN352" s="840">
        <v>0.19506166026492805</v>
      </c>
      <c r="AO352" s="841">
        <v>14378.211542801953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0.50476406152147291</v>
      </c>
      <c r="E354" s="850">
        <v>543882.26676126407</v>
      </c>
      <c r="F354" s="839" t="s">
        <v>108</v>
      </c>
      <c r="G354" s="877">
        <v>0.67910413462776564</v>
      </c>
      <c r="H354" s="850">
        <v>46182.931808629233</v>
      </c>
      <c r="I354" s="839" t="s">
        <v>108</v>
      </c>
      <c r="J354" s="877">
        <v>0.66759331987334714</v>
      </c>
      <c r="K354" s="850">
        <v>43080.618606728276</v>
      </c>
      <c r="L354" s="839" t="s">
        <v>108</v>
      </c>
      <c r="M354" s="877">
        <v>0.50847647767663195</v>
      </c>
      <c r="N354" s="850">
        <v>44903.132508035298</v>
      </c>
      <c r="O354" s="839" t="s">
        <v>108</v>
      </c>
      <c r="P354" s="877">
        <v>0.53866879659384526</v>
      </c>
      <c r="Q354" s="850">
        <v>46752.946234820149</v>
      </c>
      <c r="R354" s="839" t="s">
        <v>108</v>
      </c>
      <c r="S354" s="877">
        <v>0.3979141583402348</v>
      </c>
      <c r="T354" s="850">
        <v>45758.101343225033</v>
      </c>
      <c r="U354" s="839" t="s">
        <v>108</v>
      </c>
      <c r="V354" s="877">
        <v>0.46177788778215811</v>
      </c>
      <c r="W354" s="850">
        <v>43000.273443646198</v>
      </c>
      <c r="X354" s="839" t="s">
        <v>108</v>
      </c>
      <c r="Y354" s="877">
        <v>0.47842879053125037</v>
      </c>
      <c r="Z354" s="850">
        <v>44531.70692455204</v>
      </c>
      <c r="AA354" s="839" t="s">
        <v>108</v>
      </c>
      <c r="AB354" s="877">
        <v>0.55273956389729206</v>
      </c>
      <c r="AC354" s="850">
        <v>43097.975307958885</v>
      </c>
      <c r="AD354" s="839" t="s">
        <v>108</v>
      </c>
      <c r="AE354" s="877">
        <v>0.47615184803123745</v>
      </c>
      <c r="AF354" s="850">
        <v>45950.595847383673</v>
      </c>
      <c r="AG354" s="839" t="s">
        <v>108</v>
      </c>
      <c r="AH354" s="877">
        <v>0.47950799258429283</v>
      </c>
      <c r="AI354" s="850">
        <v>48385.774347135659</v>
      </c>
      <c r="AJ354" s="839" t="s">
        <v>108</v>
      </c>
      <c r="AK354" s="877">
        <v>0.37819092351294337</v>
      </c>
      <c r="AL354" s="850">
        <v>45220.900933432742</v>
      </c>
      <c r="AM354" s="839" t="s">
        <v>108</v>
      </c>
      <c r="AN354" s="877">
        <v>0.63785919523582091</v>
      </c>
      <c r="AO354" s="850">
        <v>47017.309455716924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533615.73323873593</v>
      </c>
      <c r="F356" s="878"/>
      <c r="G356" s="879"/>
      <c r="H356" s="859">
        <v>21822.738387950085</v>
      </c>
      <c r="I356" s="878"/>
      <c r="J356" s="879"/>
      <c r="K356" s="859">
        <v>21450.612195433343</v>
      </c>
      <c r="L356" s="878"/>
      <c r="M356" s="879"/>
      <c r="N356" s="859">
        <v>43406.031198435434</v>
      </c>
      <c r="O356" s="878"/>
      <c r="P356" s="879"/>
      <c r="Q356" s="859">
        <v>40040.546409365328</v>
      </c>
      <c r="R356" s="878"/>
      <c r="S356" s="879"/>
      <c r="T356" s="859">
        <v>69236.804930252591</v>
      </c>
      <c r="U356" s="878"/>
      <c r="V356" s="879"/>
      <c r="W356" s="859">
        <v>50118.679588447463</v>
      </c>
      <c r="X356" s="878"/>
      <c r="Y356" s="879"/>
      <c r="Z356" s="859">
        <v>48547.363160473047</v>
      </c>
      <c r="AA356" s="878"/>
      <c r="AB356" s="879"/>
      <c r="AC356" s="859">
        <v>34873.601403649882</v>
      </c>
      <c r="AD356" s="878"/>
      <c r="AE356" s="879"/>
      <c r="AF356" s="859">
        <v>50553.483759525952</v>
      </c>
      <c r="AG356" s="878"/>
      <c r="AH356" s="879"/>
      <c r="AI356" s="859">
        <v>52521.353574470173</v>
      </c>
      <c r="AJ356" s="878"/>
      <c r="AK356" s="879"/>
      <c r="AL356" s="859">
        <v>74350.717849441309</v>
      </c>
      <c r="AM356" s="878"/>
      <c r="AN356" s="879"/>
      <c r="AO356" s="859">
        <v>26693.800781291269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2938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2025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2938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2664178.4965017028</v>
      </c>
      <c r="I406" s="931"/>
      <c r="J406" s="931"/>
      <c r="K406" s="932">
        <v>2592031.6476066792</v>
      </c>
      <c r="L406" s="931"/>
      <c r="M406" s="931"/>
      <c r="N406" s="932">
        <v>4156372.2575052795</v>
      </c>
      <c r="O406" s="931"/>
      <c r="P406" s="931"/>
      <c r="Q406" s="932">
        <v>5499524.6424733456</v>
      </c>
      <c r="R406" s="931"/>
      <c r="S406" s="931"/>
      <c r="T406" s="932">
        <v>5699550.7717298605</v>
      </c>
      <c r="U406" s="931"/>
      <c r="V406" s="931"/>
      <c r="W406" s="932">
        <v>3986725.4884038181</v>
      </c>
      <c r="X406" s="931"/>
      <c r="Y406" s="931"/>
      <c r="Z406" s="932">
        <v>3619707.1639312035</v>
      </c>
      <c r="AA406" s="931"/>
      <c r="AB406" s="931"/>
      <c r="AC406" s="932">
        <v>4232507.8014783328</v>
      </c>
      <c r="AD406" s="931"/>
      <c r="AE406" s="931"/>
      <c r="AF406" s="932">
        <v>4204754.3438730137</v>
      </c>
      <c r="AG406" s="931"/>
      <c r="AH406" s="931"/>
      <c r="AI406" s="932">
        <v>4184327.8471610914</v>
      </c>
      <c r="AJ406" s="931"/>
      <c r="AK406" s="931"/>
      <c r="AL406" s="932">
        <v>3866436.0737336539</v>
      </c>
      <c r="AM406" s="931"/>
      <c r="AN406" s="931"/>
      <c r="AO406" s="932">
        <v>2885611.3479549596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2025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47591727.882352948</v>
      </c>
      <c r="F409" s="938"/>
      <c r="G409" s="939"/>
      <c r="H409" s="940">
        <v>2664178.4965017028</v>
      </c>
      <c r="I409" s="938"/>
      <c r="J409" s="939"/>
      <c r="K409" s="940">
        <v>2592031.6476066792</v>
      </c>
      <c r="L409" s="938"/>
      <c r="M409" s="939"/>
      <c r="N409" s="940">
        <v>4156372.2575052795</v>
      </c>
      <c r="O409" s="938"/>
      <c r="P409" s="939"/>
      <c r="Q409" s="940">
        <v>5499524.6424733456</v>
      </c>
      <c r="R409" s="938"/>
      <c r="S409" s="939"/>
      <c r="T409" s="940">
        <v>5699550.7717298605</v>
      </c>
      <c r="U409" s="938"/>
      <c r="V409" s="939"/>
      <c r="W409" s="940">
        <v>3986725.4884038181</v>
      </c>
      <c r="X409" s="938"/>
      <c r="Y409" s="939"/>
      <c r="Z409" s="940">
        <v>3619707.1639312035</v>
      </c>
      <c r="AA409" s="938"/>
      <c r="AB409" s="939"/>
      <c r="AC409" s="940">
        <v>4232507.8014783328</v>
      </c>
      <c r="AD409" s="938"/>
      <c r="AE409" s="939"/>
      <c r="AF409" s="940">
        <v>4204754.3438730137</v>
      </c>
      <c r="AG409" s="938"/>
      <c r="AH409" s="939"/>
      <c r="AI409" s="940">
        <v>4184327.8471610914</v>
      </c>
      <c r="AJ409" s="938"/>
      <c r="AK409" s="939"/>
      <c r="AL409" s="940">
        <v>3866436.0737336539</v>
      </c>
      <c r="AM409" s="938"/>
      <c r="AN409" s="939"/>
      <c r="AO409" s="940">
        <v>2885611.3479549596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4548200.7754636509</v>
      </c>
      <c r="F410" s="941"/>
      <c r="G410" s="942"/>
      <c r="H410" s="943">
        <v>253106.19446959981</v>
      </c>
      <c r="I410" s="941"/>
      <c r="J410" s="942"/>
      <c r="K410" s="943">
        <v>247763.06690191029</v>
      </c>
      <c r="L410" s="941"/>
      <c r="M410" s="942"/>
      <c r="N410" s="943">
        <v>368486.93420153094</v>
      </c>
      <c r="O410" s="941"/>
      <c r="P410" s="942"/>
      <c r="Q410" s="943">
        <v>481039.74899517075</v>
      </c>
      <c r="R410" s="941"/>
      <c r="S410" s="942"/>
      <c r="T410" s="943">
        <v>542294.20025272341</v>
      </c>
      <c r="U410" s="941"/>
      <c r="V410" s="942"/>
      <c r="W410" s="943">
        <v>383835.07805278909</v>
      </c>
      <c r="X410" s="941"/>
      <c r="Y410" s="942"/>
      <c r="Z410" s="943">
        <v>361388.07582851994</v>
      </c>
      <c r="AA410" s="941"/>
      <c r="AB410" s="942"/>
      <c r="AC410" s="943">
        <v>379119.48980988597</v>
      </c>
      <c r="AD410" s="941"/>
      <c r="AE410" s="942"/>
      <c r="AF410" s="943">
        <v>391562.56451657496</v>
      </c>
      <c r="AG410" s="941"/>
      <c r="AH410" s="942"/>
      <c r="AI410" s="943">
        <v>424106.35146047897</v>
      </c>
      <c r="AJ410" s="941"/>
      <c r="AK410" s="942"/>
      <c r="AL410" s="943">
        <v>435746.48280109488</v>
      </c>
      <c r="AM410" s="941"/>
      <c r="AN410" s="942"/>
      <c r="AO410" s="943">
        <v>279752.58817337186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0.30672998257034112</v>
      </c>
      <c r="D412" s="948">
        <v>862.31</v>
      </c>
      <c r="E412" s="946">
        <v>431155</v>
      </c>
      <c r="F412" s="947"/>
      <c r="G412" s="948">
        <v>1012.9063465497049</v>
      </c>
      <c r="H412" s="946">
        <v>25322.658663742623</v>
      </c>
      <c r="I412" s="947"/>
      <c r="J412" s="948">
        <v>930.8776025265912</v>
      </c>
      <c r="K412" s="946">
        <v>24202.817665691371</v>
      </c>
      <c r="L412" s="947"/>
      <c r="M412" s="948">
        <v>942.608797191142</v>
      </c>
      <c r="N412" s="946">
        <v>37704.35188764568</v>
      </c>
      <c r="O412" s="947"/>
      <c r="P412" s="948">
        <v>897.37536110876499</v>
      </c>
      <c r="Q412" s="946">
        <v>49355.644860982073</v>
      </c>
      <c r="R412" s="947"/>
      <c r="S412" s="948">
        <v>929.70199313379658</v>
      </c>
      <c r="T412" s="946">
        <v>51133.60962235881</v>
      </c>
      <c r="U412" s="947"/>
      <c r="V412" s="948">
        <v>940.93309827012524</v>
      </c>
      <c r="W412" s="946">
        <v>35755.457734264761</v>
      </c>
      <c r="X412" s="947"/>
      <c r="Y412" s="948">
        <v>895.16270892623902</v>
      </c>
      <c r="Z412" s="946">
        <v>32225.857521344606</v>
      </c>
      <c r="AA412" s="947"/>
      <c r="AB412" s="948">
        <v>883.99532357445457</v>
      </c>
      <c r="AC412" s="946">
        <v>38011.798913701547</v>
      </c>
      <c r="AD412" s="947"/>
      <c r="AE412" s="948">
        <v>942.12844423957608</v>
      </c>
      <c r="AF412" s="946">
        <v>37685.137769583045</v>
      </c>
      <c r="AG412" s="947"/>
      <c r="AH412" s="948">
        <v>952.41548231654656</v>
      </c>
      <c r="AI412" s="946">
        <v>38096.619292661861</v>
      </c>
      <c r="AJ412" s="947"/>
      <c r="AK412" s="948">
        <v>924.49230415952172</v>
      </c>
      <c r="AL412" s="946">
        <v>33281.722949742783</v>
      </c>
      <c r="AM412" s="947"/>
      <c r="AN412" s="948">
        <v>1013.5472542243153</v>
      </c>
      <c r="AO412" s="946">
        <v>28379.32311828083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0.27500000000000002</v>
      </c>
      <c r="D413" s="950">
        <v>462.14880952380952</v>
      </c>
      <c r="E413" s="940">
        <v>213512.75</v>
      </c>
      <c r="F413" s="949"/>
      <c r="G413" s="950">
        <v>464.47500000000002</v>
      </c>
      <c r="H413" s="940">
        <v>11611.875</v>
      </c>
      <c r="I413" s="949"/>
      <c r="J413" s="950">
        <v>457.61057692307691</v>
      </c>
      <c r="K413" s="940">
        <v>11897.875</v>
      </c>
      <c r="L413" s="949"/>
      <c r="M413" s="950">
        <v>463.890625</v>
      </c>
      <c r="N413" s="940">
        <v>18555.625</v>
      </c>
      <c r="O413" s="949"/>
      <c r="P413" s="950">
        <v>460.55</v>
      </c>
      <c r="Q413" s="940">
        <v>25330.25</v>
      </c>
      <c r="R413" s="949"/>
      <c r="S413" s="950">
        <v>471.9</v>
      </c>
      <c r="T413" s="940">
        <v>25954.5</v>
      </c>
      <c r="U413" s="949"/>
      <c r="V413" s="950">
        <v>464.35197368421052</v>
      </c>
      <c r="W413" s="940">
        <v>17645.375</v>
      </c>
      <c r="X413" s="949"/>
      <c r="Y413" s="950">
        <v>447.52430555555554</v>
      </c>
      <c r="Z413" s="940">
        <v>16110.875</v>
      </c>
      <c r="AA413" s="949"/>
      <c r="AB413" s="950">
        <v>455.41279069767444</v>
      </c>
      <c r="AC413" s="940">
        <v>19582.75</v>
      </c>
      <c r="AD413" s="949"/>
      <c r="AE413" s="950">
        <v>463.890625</v>
      </c>
      <c r="AF413" s="940">
        <v>18555.625</v>
      </c>
      <c r="AG413" s="949"/>
      <c r="AH413" s="950">
        <v>463.890625</v>
      </c>
      <c r="AI413" s="940">
        <v>18555.625</v>
      </c>
      <c r="AJ413" s="949"/>
      <c r="AK413" s="950">
        <v>464.86458333333331</v>
      </c>
      <c r="AL413" s="940">
        <v>16735.125</v>
      </c>
      <c r="AM413" s="949"/>
      <c r="AN413" s="950">
        <v>463.47321428571428</v>
      </c>
      <c r="AO413" s="940">
        <v>12977.25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120.36796536796537</v>
      </c>
      <c r="E414" s="946">
        <v>55610</v>
      </c>
      <c r="F414" s="947"/>
      <c r="G414" s="948">
        <v>121.2</v>
      </c>
      <c r="H414" s="946">
        <v>3030</v>
      </c>
      <c r="I414" s="947"/>
      <c r="J414" s="948">
        <v>116.92307692307692</v>
      </c>
      <c r="K414" s="946">
        <v>3040</v>
      </c>
      <c r="L414" s="947"/>
      <c r="M414" s="948">
        <v>121.75</v>
      </c>
      <c r="N414" s="946">
        <v>4870</v>
      </c>
      <c r="O414" s="947"/>
      <c r="P414" s="948">
        <v>119.81818181818181</v>
      </c>
      <c r="Q414" s="946">
        <v>6590</v>
      </c>
      <c r="R414" s="947"/>
      <c r="S414" s="948">
        <v>124.36363636363636</v>
      </c>
      <c r="T414" s="946">
        <v>6840</v>
      </c>
      <c r="U414" s="947"/>
      <c r="V414" s="948">
        <v>121.31578947368421</v>
      </c>
      <c r="W414" s="946">
        <v>4610</v>
      </c>
      <c r="X414" s="947"/>
      <c r="Y414" s="948">
        <v>113.88888888888889</v>
      </c>
      <c r="Z414" s="946">
        <v>4100</v>
      </c>
      <c r="AA414" s="947"/>
      <c r="AB414" s="948">
        <v>116.74418604651163</v>
      </c>
      <c r="AC414" s="946">
        <v>5020</v>
      </c>
      <c r="AD414" s="947"/>
      <c r="AE414" s="948">
        <v>121.75</v>
      </c>
      <c r="AF414" s="946">
        <v>4870</v>
      </c>
      <c r="AG414" s="947"/>
      <c r="AH414" s="948">
        <v>121.75</v>
      </c>
      <c r="AI414" s="946">
        <v>4870</v>
      </c>
      <c r="AJ414" s="947"/>
      <c r="AK414" s="948">
        <v>120.83333333333333</v>
      </c>
      <c r="AL414" s="946">
        <v>4350</v>
      </c>
      <c r="AM414" s="947"/>
      <c r="AN414" s="948">
        <v>122.14285714285714</v>
      </c>
      <c r="AO414" s="946">
        <v>3420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67.562770562770567</v>
      </c>
      <c r="E415" s="946">
        <v>31214</v>
      </c>
      <c r="F415" s="947"/>
      <c r="G415" s="948">
        <v>67.319999999999993</v>
      </c>
      <c r="H415" s="946">
        <v>1683</v>
      </c>
      <c r="I415" s="947"/>
      <c r="J415" s="948">
        <v>72.730769230769226</v>
      </c>
      <c r="K415" s="946">
        <v>1891</v>
      </c>
      <c r="L415" s="947"/>
      <c r="M415" s="948">
        <v>65.424999999999997</v>
      </c>
      <c r="N415" s="946">
        <v>2617</v>
      </c>
      <c r="O415" s="947"/>
      <c r="P415" s="948">
        <v>67.672727272727272</v>
      </c>
      <c r="Q415" s="946">
        <v>3722</v>
      </c>
      <c r="R415" s="947"/>
      <c r="S415" s="948">
        <v>65.236363636363635</v>
      </c>
      <c r="T415" s="946">
        <v>3588</v>
      </c>
      <c r="U415" s="947"/>
      <c r="V415" s="948">
        <v>66.921052631578945</v>
      </c>
      <c r="W415" s="946">
        <v>2543</v>
      </c>
      <c r="X415" s="947"/>
      <c r="Y415" s="948">
        <v>72.305555555555557</v>
      </c>
      <c r="Z415" s="946">
        <v>2603</v>
      </c>
      <c r="AA415" s="947"/>
      <c r="AB415" s="948">
        <v>71.395348837209298</v>
      </c>
      <c r="AC415" s="946">
        <v>3070</v>
      </c>
      <c r="AD415" s="947"/>
      <c r="AE415" s="948">
        <v>65.424999999999997</v>
      </c>
      <c r="AF415" s="946">
        <v>2617</v>
      </c>
      <c r="AG415" s="947"/>
      <c r="AH415" s="948">
        <v>65.424999999999997</v>
      </c>
      <c r="AI415" s="946">
        <v>2617</v>
      </c>
      <c r="AJ415" s="947"/>
      <c r="AK415" s="948">
        <v>68.583333333333329</v>
      </c>
      <c r="AL415" s="946">
        <v>2469</v>
      </c>
      <c r="AM415" s="947"/>
      <c r="AN415" s="948">
        <v>64.071428571428569</v>
      </c>
      <c r="AO415" s="946">
        <v>1794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85.303030303030297</v>
      </c>
      <c r="E416" s="940">
        <v>39410</v>
      </c>
      <c r="F416" s="949"/>
      <c r="G416" s="950">
        <v>111.8</v>
      </c>
      <c r="H416" s="940">
        <v>2795</v>
      </c>
      <c r="I416" s="949"/>
      <c r="J416" s="950">
        <v>104.42307692307692</v>
      </c>
      <c r="K416" s="940">
        <v>2715</v>
      </c>
      <c r="L416" s="949"/>
      <c r="M416" s="950">
        <v>85.125</v>
      </c>
      <c r="N416" s="940">
        <v>3405</v>
      </c>
      <c r="O416" s="949"/>
      <c r="P416" s="950">
        <v>70.545454545454547</v>
      </c>
      <c r="Q416" s="940">
        <v>3880</v>
      </c>
      <c r="R416" s="949"/>
      <c r="S416" s="950">
        <v>74</v>
      </c>
      <c r="T416" s="940">
        <v>4070</v>
      </c>
      <c r="U416" s="949"/>
      <c r="V416" s="950">
        <v>86.71052631578948</v>
      </c>
      <c r="W416" s="940">
        <v>3295</v>
      </c>
      <c r="X416" s="949"/>
      <c r="Y416" s="950">
        <v>83.194444444444443</v>
      </c>
      <c r="Z416" s="940">
        <v>2995</v>
      </c>
      <c r="AA416" s="949"/>
      <c r="AB416" s="950">
        <v>76.744186046511629</v>
      </c>
      <c r="AC416" s="940">
        <v>3300</v>
      </c>
      <c r="AD416" s="949"/>
      <c r="AE416" s="950">
        <v>85.125</v>
      </c>
      <c r="AF416" s="940">
        <v>3405</v>
      </c>
      <c r="AG416" s="949"/>
      <c r="AH416" s="950">
        <v>85.125</v>
      </c>
      <c r="AI416" s="940">
        <v>3405</v>
      </c>
      <c r="AJ416" s="949"/>
      <c r="AK416" s="950">
        <v>88.472222222222229</v>
      </c>
      <c r="AL416" s="940">
        <v>3185</v>
      </c>
      <c r="AM416" s="949"/>
      <c r="AN416" s="950">
        <v>105.71428571428571</v>
      </c>
      <c r="AO416" s="940">
        <v>2960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477.9220779220779</v>
      </c>
      <c r="E417" s="946">
        <v>220800</v>
      </c>
      <c r="F417" s="947"/>
      <c r="G417" s="948">
        <v>605.38235294117646</v>
      </c>
      <c r="H417" s="946">
        <v>15134.558823529413</v>
      </c>
      <c r="I417" s="947"/>
      <c r="J417" s="948">
        <v>531.02375565610862</v>
      </c>
      <c r="K417" s="946">
        <v>13806.617647058823</v>
      </c>
      <c r="L417" s="947"/>
      <c r="M417" s="948">
        <v>491.85661764705884</v>
      </c>
      <c r="N417" s="946">
        <v>19674.264705882353</v>
      </c>
      <c r="O417" s="947"/>
      <c r="P417" s="948">
        <v>406.76470588235298</v>
      </c>
      <c r="Q417" s="946">
        <v>22372.058823529413</v>
      </c>
      <c r="R417" s="947"/>
      <c r="S417" s="948">
        <v>449.59893048128339</v>
      </c>
      <c r="T417" s="946">
        <v>24727.941176470587</v>
      </c>
      <c r="U417" s="947"/>
      <c r="V417" s="948">
        <v>490.69272445820434</v>
      </c>
      <c r="W417" s="946">
        <v>18646.323529411766</v>
      </c>
      <c r="X417" s="947"/>
      <c r="Y417" s="948">
        <v>423.95833333333331</v>
      </c>
      <c r="Z417" s="946">
        <v>15262.5</v>
      </c>
      <c r="AA417" s="947"/>
      <c r="AB417" s="948">
        <v>407.7291381668947</v>
      </c>
      <c r="AC417" s="946">
        <v>17532.352941176472</v>
      </c>
      <c r="AD417" s="947"/>
      <c r="AE417" s="948">
        <v>491.85661764705884</v>
      </c>
      <c r="AF417" s="946">
        <v>19674.264705882353</v>
      </c>
      <c r="AG417" s="947"/>
      <c r="AH417" s="948">
        <v>491.85661764705884</v>
      </c>
      <c r="AI417" s="946">
        <v>19674.264705882353</v>
      </c>
      <c r="AJ417" s="947"/>
      <c r="AK417" s="948">
        <v>489.39950980392155</v>
      </c>
      <c r="AL417" s="946">
        <v>17618.382352941175</v>
      </c>
      <c r="AM417" s="947"/>
      <c r="AN417" s="948">
        <v>595.58823529411768</v>
      </c>
      <c r="AO417" s="946">
        <v>16676.470588235294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822.9988659830733</v>
      </c>
      <c r="E418" s="946">
        <v>380225.47608417989</v>
      </c>
      <c r="F418" s="947"/>
      <c r="G418" s="948">
        <v>1190.0587264832404</v>
      </c>
      <c r="H418" s="946">
        <v>29751.468162081012</v>
      </c>
      <c r="I418" s="947"/>
      <c r="J418" s="948">
        <v>1149.5160073123338</v>
      </c>
      <c r="K418" s="946">
        <v>29887.416190120683</v>
      </c>
      <c r="L418" s="947"/>
      <c r="M418" s="948">
        <v>901.85983530558246</v>
      </c>
      <c r="N418" s="946">
        <v>36074.393412223297</v>
      </c>
      <c r="O418" s="947"/>
      <c r="P418" s="948">
        <v>667.28591696159424</v>
      </c>
      <c r="Q418" s="946">
        <v>36700.725432887681</v>
      </c>
      <c r="R418" s="947"/>
      <c r="S418" s="948">
        <v>640.00271924876358</v>
      </c>
      <c r="T418" s="946">
        <v>35200.149558681995</v>
      </c>
      <c r="U418" s="947"/>
      <c r="V418" s="948">
        <v>796.49446372354066</v>
      </c>
      <c r="W418" s="946">
        <v>30266.789621494543</v>
      </c>
      <c r="X418" s="947"/>
      <c r="Y418" s="948">
        <v>867.95532047852873</v>
      </c>
      <c r="Z418" s="946">
        <v>31246.391537227035</v>
      </c>
      <c r="AA418" s="947"/>
      <c r="AB418" s="948">
        <v>755.20400725710238</v>
      </c>
      <c r="AC418" s="946">
        <v>32473.772312055404</v>
      </c>
      <c r="AD418" s="947"/>
      <c r="AE418" s="948">
        <v>783.58954786999561</v>
      </c>
      <c r="AF418" s="946">
        <v>31343.581914799826</v>
      </c>
      <c r="AG418" s="947"/>
      <c r="AH418" s="948">
        <v>780.31006842835643</v>
      </c>
      <c r="AI418" s="946">
        <v>31212.402737134256</v>
      </c>
      <c r="AJ418" s="947"/>
      <c r="AK418" s="948">
        <v>788.61292276229358</v>
      </c>
      <c r="AL418" s="946">
        <v>28390.065219442567</v>
      </c>
      <c r="AM418" s="947"/>
      <c r="AN418" s="948">
        <v>988.51142807255565</v>
      </c>
      <c r="AO418" s="946">
        <v>27678.319986031558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0.30164174666284899</v>
      </c>
      <c r="D422" s="952">
        <v>2898.613519662727</v>
      </c>
      <c r="E422" s="953">
        <v>1371927.2260841799</v>
      </c>
      <c r="F422" s="951">
        <v>0.35292917597906581</v>
      </c>
      <c r="G422" s="952"/>
      <c r="H422" s="953">
        <v>89328.56064935305</v>
      </c>
      <c r="I422" s="951">
        <v>0.35292074640603627</v>
      </c>
      <c r="J422" s="952"/>
      <c r="K422" s="953">
        <v>87440.726502870879</v>
      </c>
      <c r="L422" s="951">
        <v>0.33352779596395449</v>
      </c>
      <c r="M422" s="952"/>
      <c r="N422" s="953">
        <v>122900.63500575133</v>
      </c>
      <c r="O422" s="951">
        <v>0.30756435289692552</v>
      </c>
      <c r="P422" s="952"/>
      <c r="Q422" s="953">
        <v>147950.67911739918</v>
      </c>
      <c r="R422" s="951">
        <v>0.27939483823891492</v>
      </c>
      <c r="S422" s="952"/>
      <c r="T422" s="953">
        <v>151514.20035751141</v>
      </c>
      <c r="U422" s="951">
        <v>0.29377707336499048</v>
      </c>
      <c r="V422" s="952"/>
      <c r="W422" s="953">
        <v>112761.94588517107</v>
      </c>
      <c r="X422" s="951">
        <v>0.28928354600215977</v>
      </c>
      <c r="Y422" s="952"/>
      <c r="Z422" s="953">
        <v>104543.62405857164</v>
      </c>
      <c r="AA422" s="951">
        <v>0.31386060955769574</v>
      </c>
      <c r="AB422" s="952"/>
      <c r="AC422" s="953">
        <v>118990.67416693343</v>
      </c>
      <c r="AD422" s="951">
        <v>0.30174133100832695</v>
      </c>
      <c r="AE422" s="952"/>
      <c r="AF422" s="953">
        <v>118150.60939026522</v>
      </c>
      <c r="AG422" s="951">
        <v>0.2792481445463913</v>
      </c>
      <c r="AH422" s="952"/>
      <c r="AI422" s="953">
        <v>118430.91173567847</v>
      </c>
      <c r="AJ422" s="951">
        <v>0.24332794344211767</v>
      </c>
      <c r="AK422" s="952"/>
      <c r="AL422" s="953">
        <v>106029.29552212651</v>
      </c>
      <c r="AM422" s="951">
        <v>0.33560141232496427</v>
      </c>
      <c r="AN422" s="952"/>
      <c r="AO422" s="953">
        <v>93885.363692547689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169988.01538461537</v>
      </c>
      <c r="F423" s="947"/>
      <c r="G423" s="948"/>
      <c r="H423" s="954">
        <v>14726.288712054229</v>
      </c>
      <c r="I423" s="947"/>
      <c r="J423" s="948"/>
      <c r="K423" s="954">
        <v>13380.798880047158</v>
      </c>
      <c r="L423" s="947"/>
      <c r="M423" s="948"/>
      <c r="N423" s="954">
        <v>13829.29549071618</v>
      </c>
      <c r="O423" s="947"/>
      <c r="P423" s="948"/>
      <c r="Q423" s="954">
        <v>14277.792101385206</v>
      </c>
      <c r="R423" s="947"/>
      <c r="S423" s="948"/>
      <c r="T423" s="954">
        <v>14277.792101385206</v>
      </c>
      <c r="U423" s="947"/>
      <c r="V423" s="948"/>
      <c r="W423" s="954">
        <v>13829.29549071618</v>
      </c>
      <c r="X423" s="947"/>
      <c r="Y423" s="948"/>
      <c r="Z423" s="954">
        <v>14726.288712054229</v>
      </c>
      <c r="AA423" s="947"/>
      <c r="AB423" s="948"/>
      <c r="AC423" s="954">
        <v>13829.29549071618</v>
      </c>
      <c r="AD423" s="947"/>
      <c r="AE423" s="948"/>
      <c r="AF423" s="954">
        <v>14277.792101385206</v>
      </c>
      <c r="AG423" s="947"/>
      <c r="AH423" s="948"/>
      <c r="AI423" s="954">
        <v>14726.288712054229</v>
      </c>
      <c r="AJ423" s="947"/>
      <c r="AK423" s="948"/>
      <c r="AL423" s="954">
        <v>13380.798880047158</v>
      </c>
      <c r="AM423" s="947"/>
      <c r="AN423" s="948"/>
      <c r="AO423" s="954">
        <v>14726.288712054229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385853.5384615385</v>
      </c>
      <c r="F424" s="947"/>
      <c r="G424" s="948"/>
      <c r="H424" s="946">
        <v>32839.42101385205</v>
      </c>
      <c r="I424" s="947"/>
      <c r="J424" s="948"/>
      <c r="K424" s="946">
        <v>31195.518272914826</v>
      </c>
      <c r="L424" s="947"/>
      <c r="M424" s="948"/>
      <c r="N424" s="946">
        <v>31743.485853227234</v>
      </c>
      <c r="O424" s="947"/>
      <c r="P424" s="948"/>
      <c r="Q424" s="946">
        <v>32291.453433539642</v>
      </c>
      <c r="R424" s="947"/>
      <c r="S424" s="948"/>
      <c r="T424" s="946">
        <v>32291.453433539642</v>
      </c>
      <c r="U424" s="947"/>
      <c r="V424" s="948"/>
      <c r="W424" s="946">
        <v>31743.485853227234</v>
      </c>
      <c r="X424" s="947"/>
      <c r="Y424" s="948"/>
      <c r="Z424" s="946">
        <v>32839.42101385205</v>
      </c>
      <c r="AA424" s="947"/>
      <c r="AB424" s="948"/>
      <c r="AC424" s="946">
        <v>31743.485853227234</v>
      </c>
      <c r="AD424" s="947"/>
      <c r="AE424" s="948"/>
      <c r="AF424" s="946">
        <v>32291.453433539642</v>
      </c>
      <c r="AG424" s="947"/>
      <c r="AH424" s="948"/>
      <c r="AI424" s="946">
        <v>32839.42101385205</v>
      </c>
      <c r="AJ424" s="947"/>
      <c r="AK424" s="948"/>
      <c r="AL424" s="946">
        <v>31195.518272914826</v>
      </c>
      <c r="AM424" s="947"/>
      <c r="AN424" s="948"/>
      <c r="AO424" s="946">
        <v>32839.42101385205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250925</v>
      </c>
      <c r="F425" s="949"/>
      <c r="G425" s="950"/>
      <c r="H425" s="940">
        <v>22629.420498084291</v>
      </c>
      <c r="I425" s="949"/>
      <c r="J425" s="950"/>
      <c r="K425" s="940">
        <v>20384.811302681992</v>
      </c>
      <c r="L425" s="949"/>
      <c r="M425" s="950"/>
      <c r="N425" s="940">
        <v>20234.681034482761</v>
      </c>
      <c r="O425" s="949"/>
      <c r="P425" s="950"/>
      <c r="Q425" s="940">
        <v>20084.55076628353</v>
      </c>
      <c r="R425" s="949"/>
      <c r="S425" s="950"/>
      <c r="T425" s="940">
        <v>20084.55076628353</v>
      </c>
      <c r="U425" s="949"/>
      <c r="V425" s="950"/>
      <c r="W425" s="940">
        <v>20399.681034482761</v>
      </c>
      <c r="X425" s="949"/>
      <c r="Y425" s="950"/>
      <c r="Z425" s="940">
        <v>22024.420498084291</v>
      </c>
      <c r="AA425" s="949"/>
      <c r="AB425" s="950"/>
      <c r="AC425" s="940">
        <v>20124.681034482761</v>
      </c>
      <c r="AD425" s="949"/>
      <c r="AE425" s="950"/>
      <c r="AF425" s="940">
        <v>20964.55076628353</v>
      </c>
      <c r="AG425" s="949"/>
      <c r="AH425" s="950"/>
      <c r="AI425" s="940">
        <v>21749.420498084291</v>
      </c>
      <c r="AJ425" s="949"/>
      <c r="AK425" s="950"/>
      <c r="AL425" s="940">
        <v>19779.811302681992</v>
      </c>
      <c r="AM425" s="949"/>
      <c r="AN425" s="950"/>
      <c r="AO425" s="940">
        <v>22464.420498084291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277862.44</v>
      </c>
      <c r="F426" s="947"/>
      <c r="G426" s="948"/>
      <c r="H426" s="946">
        <v>23383.321149425286</v>
      </c>
      <c r="I426" s="947"/>
      <c r="J426" s="948"/>
      <c r="K426" s="946">
        <v>21519.838390804594</v>
      </c>
      <c r="L426" s="947"/>
      <c r="M426" s="948"/>
      <c r="N426" s="946">
        <v>24329.138845228546</v>
      </c>
      <c r="O426" s="947"/>
      <c r="P426" s="948"/>
      <c r="Q426" s="946">
        <v>25114.020695001338</v>
      </c>
      <c r="R426" s="947"/>
      <c r="S426" s="948"/>
      <c r="T426" s="946">
        <v>21512.160229885056</v>
      </c>
      <c r="U426" s="947"/>
      <c r="V426" s="948"/>
      <c r="W426" s="946">
        <v>20890.999310344829</v>
      </c>
      <c r="X426" s="947"/>
      <c r="Y426" s="948"/>
      <c r="Z426" s="946">
        <v>22133.321149425286</v>
      </c>
      <c r="AA426" s="947"/>
      <c r="AB426" s="948"/>
      <c r="AC426" s="946">
        <v>20890.999310344829</v>
      </c>
      <c r="AD426" s="947"/>
      <c r="AE426" s="948"/>
      <c r="AF426" s="946">
        <v>22762.160229885056</v>
      </c>
      <c r="AG426" s="947"/>
      <c r="AH426" s="948"/>
      <c r="AI426" s="946">
        <v>27148.902544774122</v>
      </c>
      <c r="AJ426" s="947"/>
      <c r="AK426" s="948"/>
      <c r="AL426" s="946">
        <v>24794.256995455758</v>
      </c>
      <c r="AM426" s="947"/>
      <c r="AN426" s="948"/>
      <c r="AO426" s="946">
        <v>23383.321149425286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172166.052</v>
      </c>
      <c r="F427" s="947"/>
      <c r="G427" s="948"/>
      <c r="H427" s="946">
        <v>14702.865444444444</v>
      </c>
      <c r="I427" s="947"/>
      <c r="J427" s="948"/>
      <c r="K427" s="946">
        <v>13849.198777777778</v>
      </c>
      <c r="L427" s="947"/>
      <c r="M427" s="948"/>
      <c r="N427" s="946">
        <v>14133.754333333332</v>
      </c>
      <c r="O427" s="947"/>
      <c r="P427" s="948"/>
      <c r="Q427" s="946">
        <v>14418.309888888889</v>
      </c>
      <c r="R427" s="947"/>
      <c r="S427" s="948"/>
      <c r="T427" s="946">
        <v>14418.309888888889</v>
      </c>
      <c r="U427" s="947"/>
      <c r="V427" s="948"/>
      <c r="W427" s="946">
        <v>14133.754333333332</v>
      </c>
      <c r="X427" s="947"/>
      <c r="Y427" s="948"/>
      <c r="Z427" s="946">
        <v>14702.865444444444</v>
      </c>
      <c r="AA427" s="947"/>
      <c r="AB427" s="948"/>
      <c r="AC427" s="946">
        <v>14133.754333333332</v>
      </c>
      <c r="AD427" s="947"/>
      <c r="AE427" s="948"/>
      <c r="AF427" s="946">
        <v>14418.309888888889</v>
      </c>
      <c r="AG427" s="947"/>
      <c r="AH427" s="948"/>
      <c r="AI427" s="946">
        <v>14702.865444444444</v>
      </c>
      <c r="AJ427" s="947"/>
      <c r="AK427" s="948"/>
      <c r="AL427" s="946">
        <v>13849.198777777778</v>
      </c>
      <c r="AM427" s="947"/>
      <c r="AN427" s="948"/>
      <c r="AO427" s="946">
        <v>14702.865444444444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0.11247171846366666</v>
      </c>
      <c r="E431" s="940">
        <v>285224.90616475989</v>
      </c>
      <c r="F431" s="949"/>
      <c r="G431" s="955">
        <v>0.13681485001845636</v>
      </c>
      <c r="H431" s="940">
        <v>25918.369899596772</v>
      </c>
      <c r="I431" s="949"/>
      <c r="J431" s="955">
        <v>9.2005253661905498E-2</v>
      </c>
      <c r="K431" s="940">
        <v>15933.553516272432</v>
      </c>
      <c r="L431" s="949"/>
      <c r="M431" s="955">
        <v>9.2079222648823636E-2</v>
      </c>
      <c r="N431" s="940">
        <v>18615.718389626301</v>
      </c>
      <c r="O431" s="949"/>
      <c r="P431" s="955">
        <v>0.11005450498196552</v>
      </c>
      <c r="Q431" s="940">
        <v>27067.532341546663</v>
      </c>
      <c r="R431" s="949"/>
      <c r="S431" s="955">
        <v>0.10566549056699594</v>
      </c>
      <c r="T431" s="940">
        <v>26927.771575120063</v>
      </c>
      <c r="U431" s="949"/>
      <c r="V431" s="955">
        <v>0.11370241488549142</v>
      </c>
      <c r="W431" s="940">
        <v>23697.763048164332</v>
      </c>
      <c r="X431" s="949"/>
      <c r="Y431" s="955">
        <v>0.11684324616507538</v>
      </c>
      <c r="Z431" s="940">
        <v>24311.298993743552</v>
      </c>
      <c r="AA431" s="949"/>
      <c r="AB431" s="955">
        <v>9.3363298501318373E-2</v>
      </c>
      <c r="AC431" s="940">
        <v>19299.822749134139</v>
      </c>
      <c r="AD431" s="949"/>
      <c r="AE431" s="955">
        <v>0.11446127492403216</v>
      </c>
      <c r="AF431" s="940">
        <v>23997.714564820933</v>
      </c>
      <c r="AG431" s="949"/>
      <c r="AH431" s="955">
        <v>0.1128644815969761</v>
      </c>
      <c r="AI431" s="940">
        <v>25832.356070697457</v>
      </c>
      <c r="AJ431" s="949"/>
      <c r="AK431" s="955">
        <v>8.3416260458201844E-2</v>
      </c>
      <c r="AL431" s="940">
        <v>18586.731165233068</v>
      </c>
      <c r="AM431" s="949"/>
      <c r="AN431" s="955">
        <v>0.1885391986926539</v>
      </c>
      <c r="AO431" s="940">
        <v>35036.273850804144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0.12992422651646598</v>
      </c>
      <c r="E432" s="946">
        <v>329483.94336714322</v>
      </c>
      <c r="F432" s="947"/>
      <c r="G432" s="956">
        <v>0.16883127064572073</v>
      </c>
      <c r="H432" s="946">
        <v>31983.599167958913</v>
      </c>
      <c r="I432" s="947"/>
      <c r="J432" s="956">
        <v>0.15950910825080358</v>
      </c>
      <c r="K432" s="946">
        <v>27623.932454841881</v>
      </c>
      <c r="L432" s="947"/>
      <c r="M432" s="956">
        <v>0.13911969508898356</v>
      </c>
      <c r="N432" s="946">
        <v>28125.922349544089</v>
      </c>
      <c r="O432" s="947"/>
      <c r="P432" s="956">
        <v>0.12847376823842849</v>
      </c>
      <c r="Q432" s="946">
        <v>31597.687685786976</v>
      </c>
      <c r="R432" s="947"/>
      <c r="S432" s="956">
        <v>0.12109837243721651</v>
      </c>
      <c r="T432" s="946">
        <v>30860.683971751794</v>
      </c>
      <c r="U432" s="947"/>
      <c r="V432" s="956">
        <v>0.13078026601673357</v>
      </c>
      <c r="W432" s="946">
        <v>27257.114622953464</v>
      </c>
      <c r="X432" s="947"/>
      <c r="Y432" s="956">
        <v>0.13439284320492553</v>
      </c>
      <c r="Z432" s="946">
        <v>27962.80231001346</v>
      </c>
      <c r="AA432" s="947"/>
      <c r="AB432" s="956">
        <v>0.13344862774916705</v>
      </c>
      <c r="AC432" s="946">
        <v>27586.159690338478</v>
      </c>
      <c r="AD432" s="947"/>
      <c r="AE432" s="956">
        <v>0.12182824656038586</v>
      </c>
      <c r="AF432" s="946">
        <v>25542.258627026109</v>
      </c>
      <c r="AG432" s="947"/>
      <c r="AH432" s="956">
        <v>0.11528478181551356</v>
      </c>
      <c r="AI432" s="946">
        <v>26386.312959158651</v>
      </c>
      <c r="AJ432" s="947"/>
      <c r="AK432" s="956">
        <v>0.10563037329761428</v>
      </c>
      <c r="AL432" s="946">
        <v>23536.458486409265</v>
      </c>
      <c r="AM432" s="947"/>
      <c r="AN432" s="956">
        <v>0.11311946568075183</v>
      </c>
      <c r="AO432" s="946">
        <v>21021.011041360092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6.7870864597157174E-2</v>
      </c>
      <c r="E433" s="946">
        <v>172118.47787583078</v>
      </c>
      <c r="F433" s="947"/>
      <c r="G433" s="956">
        <v>6.7920626121841673E-2</v>
      </c>
      <c r="H433" s="946">
        <v>12866.965182512206</v>
      </c>
      <c r="I433" s="947"/>
      <c r="J433" s="956">
        <v>7.000399735144984E-2</v>
      </c>
      <c r="K433" s="946">
        <v>12123.355936294241</v>
      </c>
      <c r="L433" s="947"/>
      <c r="M433" s="956">
        <v>7.0060278102365828E-2</v>
      </c>
      <c r="N433" s="946">
        <v>14164.133557324361</v>
      </c>
      <c r="O433" s="947"/>
      <c r="P433" s="956">
        <v>6.6126204240367609E-2</v>
      </c>
      <c r="Q433" s="946">
        <v>16263.51572062565</v>
      </c>
      <c r="R433" s="947"/>
      <c r="S433" s="956">
        <v>6.3489066726862303E-2</v>
      </c>
      <c r="T433" s="946">
        <v>16179.540521363882</v>
      </c>
      <c r="U433" s="947"/>
      <c r="V433" s="956">
        <v>6.8318049411726478E-2</v>
      </c>
      <c r="W433" s="946">
        <v>14238.791220945839</v>
      </c>
      <c r="X433" s="947"/>
      <c r="Y433" s="956">
        <v>7.0205216599587963E-2</v>
      </c>
      <c r="Z433" s="946">
        <v>14607.434042544344</v>
      </c>
      <c r="AA433" s="947"/>
      <c r="AB433" s="956">
        <v>7.1037292337959648E-2</v>
      </c>
      <c r="AC433" s="946">
        <v>14684.647743906413</v>
      </c>
      <c r="AD433" s="947"/>
      <c r="AE433" s="956">
        <v>6.877401015505652E-2</v>
      </c>
      <c r="AF433" s="946">
        <v>14419.016966869576</v>
      </c>
      <c r="AG433" s="947"/>
      <c r="AH433" s="956">
        <v>6.7814577538537382E-2</v>
      </c>
      <c r="AI433" s="946">
        <v>15521.360564210971</v>
      </c>
      <c r="AJ433" s="947"/>
      <c r="AK433" s="956">
        <v>6.3468893826892706E-2</v>
      </c>
      <c r="AL433" s="946">
        <v>14142.078060503422</v>
      </c>
      <c r="AM433" s="947"/>
      <c r="AN433" s="956">
        <v>6.9459321032040597E-2</v>
      </c>
      <c r="AO433" s="946">
        <v>12907.638358729881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1.4543756699390821E-2</v>
      </c>
      <c r="E434" s="946">
        <v>36882.530973392306</v>
      </c>
      <c r="F434" s="947"/>
      <c r="G434" s="956">
        <v>1.4554419883251785E-2</v>
      </c>
      <c r="H434" s="946">
        <v>2757.2068248240439</v>
      </c>
      <c r="I434" s="947"/>
      <c r="J434" s="956">
        <v>1.5000856575310681E-2</v>
      </c>
      <c r="K434" s="946">
        <v>2597.8619863487661</v>
      </c>
      <c r="L434" s="947"/>
      <c r="M434" s="956">
        <v>1.5012916736221245E-2</v>
      </c>
      <c r="N434" s="946">
        <v>3035.1714765695056</v>
      </c>
      <c r="O434" s="947"/>
      <c r="P434" s="956">
        <v>1.4169900908650198E-2</v>
      </c>
      <c r="Q434" s="946">
        <v>3485.0390829912099</v>
      </c>
      <c r="R434" s="947"/>
      <c r="S434" s="956">
        <v>1.3604800012899062E-2</v>
      </c>
      <c r="T434" s="946">
        <v>3467.0443974351169</v>
      </c>
      <c r="U434" s="947"/>
      <c r="V434" s="956">
        <v>1.463958201679853E-2</v>
      </c>
      <c r="W434" s="946">
        <v>3051.1695473455366</v>
      </c>
      <c r="X434" s="947"/>
      <c r="Y434" s="956">
        <v>1.5043974985625994E-2</v>
      </c>
      <c r="Z434" s="946">
        <v>3130.164437688074</v>
      </c>
      <c r="AA434" s="947"/>
      <c r="AB434" s="956">
        <v>1.5222276929562779E-2</v>
      </c>
      <c r="AC434" s="946">
        <v>3146.7102308370881</v>
      </c>
      <c r="AD434" s="947"/>
      <c r="AE434" s="956">
        <v>1.4737287890369254E-2</v>
      </c>
      <c r="AF434" s="946">
        <v>3089.7893500434802</v>
      </c>
      <c r="AG434" s="947"/>
      <c r="AH434" s="956">
        <v>1.453169518682944E-2</v>
      </c>
      <c r="AI434" s="946">
        <v>3326.0058351880652</v>
      </c>
      <c r="AJ434" s="947"/>
      <c r="AK434" s="956">
        <v>1.3600477248619866E-2</v>
      </c>
      <c r="AL434" s="946">
        <v>3030.4452986793049</v>
      </c>
      <c r="AM434" s="947"/>
      <c r="AN434" s="956">
        <v>1.4884140221151556E-2</v>
      </c>
      <c r="AO434" s="946">
        <v>2765.9225054421172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0.457434710325687</v>
      </c>
      <c r="D436" s="957"/>
      <c r="E436" s="953">
        <v>2080504.9042272801</v>
      </c>
      <c r="F436" s="951">
        <v>0.71830505086507812</v>
      </c>
      <c r="G436" s="957"/>
      <c r="H436" s="953">
        <v>181807.45789275225</v>
      </c>
      <c r="I436" s="951">
        <v>0.64016348966481396</v>
      </c>
      <c r="J436" s="957"/>
      <c r="K436" s="953">
        <v>158608.86951798366</v>
      </c>
      <c r="L436" s="951">
        <v>0.45649190165873033</v>
      </c>
      <c r="M436" s="957"/>
      <c r="N436" s="953">
        <v>168211.30133005229</v>
      </c>
      <c r="O436" s="951">
        <v>0.38375186687098983</v>
      </c>
      <c r="P436" s="957"/>
      <c r="Q436" s="953">
        <v>184599.90171604912</v>
      </c>
      <c r="R436" s="951">
        <v>0.33195875375720307</v>
      </c>
      <c r="S436" s="957"/>
      <c r="T436" s="953">
        <v>180019.30688565318</v>
      </c>
      <c r="U436" s="951">
        <v>0.44092388668613952</v>
      </c>
      <c r="V436" s="957"/>
      <c r="W436" s="953">
        <v>169242.0544615135</v>
      </c>
      <c r="X436" s="951">
        <v>0.48822312744366869</v>
      </c>
      <c r="Y436" s="957"/>
      <c r="Z436" s="953">
        <v>176438.0166018497</v>
      </c>
      <c r="AA436" s="951">
        <v>0.43637840016951412</v>
      </c>
      <c r="AB436" s="957"/>
      <c r="AC436" s="953">
        <v>165439.55643632045</v>
      </c>
      <c r="AD436" s="951">
        <v>0.43866053983174297</v>
      </c>
      <c r="AE436" s="957"/>
      <c r="AF436" s="953">
        <v>171763.04592874245</v>
      </c>
      <c r="AG436" s="951">
        <v>0.42968687692347829</v>
      </c>
      <c r="AH436" s="957"/>
      <c r="AI436" s="953">
        <v>182232.93364246425</v>
      </c>
      <c r="AJ436" s="951">
        <v>0.37245348762524716</v>
      </c>
      <c r="AK436" s="957"/>
      <c r="AL436" s="953">
        <v>162295.29723970257</v>
      </c>
      <c r="AM436" s="951">
        <v>0.64287935188910328</v>
      </c>
      <c r="AN436" s="957"/>
      <c r="AO436" s="953">
        <v>179847.16257419653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104677</v>
      </c>
      <c r="F437" s="958"/>
      <c r="G437" s="959"/>
      <c r="H437" s="960">
        <v>7083.7803978365091</v>
      </c>
      <c r="I437" s="958"/>
      <c r="J437" s="959"/>
      <c r="K437" s="960">
        <v>10026.441496375166</v>
      </c>
      <c r="L437" s="958"/>
      <c r="M437" s="959"/>
      <c r="N437" s="960">
        <v>10086.853944674043</v>
      </c>
      <c r="O437" s="958"/>
      <c r="P437" s="959"/>
      <c r="Q437" s="960">
        <v>10327.518388041846</v>
      </c>
      <c r="R437" s="958"/>
      <c r="S437" s="959"/>
      <c r="T437" s="960">
        <v>7464.5015103221631</v>
      </c>
      <c r="U437" s="958"/>
      <c r="V437" s="959"/>
      <c r="W437" s="960">
        <v>7243.0075399898496</v>
      </c>
      <c r="X437" s="958"/>
      <c r="Y437" s="959"/>
      <c r="Z437" s="960">
        <v>7241.6906087484858</v>
      </c>
      <c r="AA437" s="958"/>
      <c r="AB437" s="959"/>
      <c r="AC437" s="960">
        <v>7207.401693408443</v>
      </c>
      <c r="AD437" s="958"/>
      <c r="AE437" s="959"/>
      <c r="AF437" s="960">
        <v>7191.0525674123</v>
      </c>
      <c r="AG437" s="958"/>
      <c r="AH437" s="959"/>
      <c r="AI437" s="960">
        <v>10334.958850173358</v>
      </c>
      <c r="AJ437" s="958"/>
      <c r="AK437" s="959"/>
      <c r="AL437" s="960">
        <v>10405.950418322167</v>
      </c>
      <c r="AM437" s="958"/>
      <c r="AN437" s="959"/>
      <c r="AO437" s="960">
        <v>10063.842584695667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40000</v>
      </c>
      <c r="F438" s="947"/>
      <c r="G438" s="948"/>
      <c r="H438" s="946">
        <v>3333.3333333333335</v>
      </c>
      <c r="I438" s="947"/>
      <c r="J438" s="948"/>
      <c r="K438" s="946">
        <v>3333.3333333333335</v>
      </c>
      <c r="L438" s="947"/>
      <c r="M438" s="948"/>
      <c r="N438" s="946">
        <v>3333.3333333333335</v>
      </c>
      <c r="O438" s="947"/>
      <c r="P438" s="948"/>
      <c r="Q438" s="946">
        <v>3333.3333333333335</v>
      </c>
      <c r="R438" s="947"/>
      <c r="S438" s="948"/>
      <c r="T438" s="946">
        <v>3333.3333333333335</v>
      </c>
      <c r="U438" s="947"/>
      <c r="V438" s="948"/>
      <c r="W438" s="946">
        <v>3333.3333333333335</v>
      </c>
      <c r="X438" s="947"/>
      <c r="Y438" s="948"/>
      <c r="Z438" s="946">
        <v>3333.3333333333335</v>
      </c>
      <c r="AA438" s="947"/>
      <c r="AB438" s="948"/>
      <c r="AC438" s="946">
        <v>3333.3333333333335</v>
      </c>
      <c r="AD438" s="947"/>
      <c r="AE438" s="948"/>
      <c r="AF438" s="946">
        <v>3333.3333333333335</v>
      </c>
      <c r="AG438" s="947"/>
      <c r="AH438" s="948"/>
      <c r="AI438" s="946">
        <v>3333.3333333333335</v>
      </c>
      <c r="AJ438" s="947"/>
      <c r="AK438" s="948"/>
      <c r="AL438" s="946">
        <v>3333.3333333333335</v>
      </c>
      <c r="AM438" s="947"/>
      <c r="AN438" s="948"/>
      <c r="AO438" s="946">
        <v>3333.3333333333335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219136.00000000003</v>
      </c>
      <c r="F439" s="949"/>
      <c r="G439" s="950"/>
      <c r="H439" s="940">
        <v>15011.333333333332</v>
      </c>
      <c r="I439" s="949"/>
      <c r="J439" s="950"/>
      <c r="K439" s="940">
        <v>15011.333333333332</v>
      </c>
      <c r="L439" s="949"/>
      <c r="M439" s="950"/>
      <c r="N439" s="940">
        <v>20211.333333333332</v>
      </c>
      <c r="O439" s="949"/>
      <c r="P439" s="950"/>
      <c r="Q439" s="940">
        <v>20211.333333333332</v>
      </c>
      <c r="R439" s="949"/>
      <c r="S439" s="950"/>
      <c r="T439" s="940">
        <v>20211.333333333332</v>
      </c>
      <c r="U439" s="949"/>
      <c r="V439" s="950"/>
      <c r="W439" s="940">
        <v>17611.333333333332</v>
      </c>
      <c r="X439" s="949"/>
      <c r="Y439" s="950"/>
      <c r="Z439" s="940">
        <v>17611.333333333332</v>
      </c>
      <c r="AA439" s="949"/>
      <c r="AB439" s="950"/>
      <c r="AC439" s="940">
        <v>18911.333333333332</v>
      </c>
      <c r="AD439" s="949"/>
      <c r="AE439" s="950"/>
      <c r="AF439" s="940">
        <v>18911.333333333332</v>
      </c>
      <c r="AG439" s="949"/>
      <c r="AH439" s="950"/>
      <c r="AI439" s="940">
        <v>20211.333333333332</v>
      </c>
      <c r="AJ439" s="949"/>
      <c r="AK439" s="950"/>
      <c r="AL439" s="940">
        <v>20211.333333333332</v>
      </c>
      <c r="AM439" s="949"/>
      <c r="AN439" s="950"/>
      <c r="AO439" s="940">
        <v>15011.333333333332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169968</v>
      </c>
      <c r="F440" s="947"/>
      <c r="G440" s="948"/>
      <c r="H440" s="946">
        <v>14164</v>
      </c>
      <c r="I440" s="947"/>
      <c r="J440" s="948"/>
      <c r="K440" s="946">
        <v>14164</v>
      </c>
      <c r="L440" s="947"/>
      <c r="M440" s="948"/>
      <c r="N440" s="946">
        <v>14164</v>
      </c>
      <c r="O440" s="947"/>
      <c r="P440" s="948"/>
      <c r="Q440" s="946">
        <v>14164</v>
      </c>
      <c r="R440" s="947"/>
      <c r="S440" s="948"/>
      <c r="T440" s="946">
        <v>14164</v>
      </c>
      <c r="U440" s="947"/>
      <c r="V440" s="948"/>
      <c r="W440" s="946">
        <v>14164</v>
      </c>
      <c r="X440" s="947"/>
      <c r="Y440" s="948"/>
      <c r="Z440" s="946">
        <v>14164</v>
      </c>
      <c r="AA440" s="947"/>
      <c r="AB440" s="948"/>
      <c r="AC440" s="946">
        <v>14164</v>
      </c>
      <c r="AD440" s="947"/>
      <c r="AE440" s="948"/>
      <c r="AF440" s="946">
        <v>14164</v>
      </c>
      <c r="AG440" s="947"/>
      <c r="AH440" s="948"/>
      <c r="AI440" s="946">
        <v>14164</v>
      </c>
      <c r="AJ440" s="947"/>
      <c r="AK440" s="948"/>
      <c r="AL440" s="946">
        <v>14164</v>
      </c>
      <c r="AM440" s="947"/>
      <c r="AN440" s="948"/>
      <c r="AO440" s="946">
        <v>14164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22000</v>
      </c>
      <c r="F441" s="947"/>
      <c r="G441" s="948"/>
      <c r="H441" s="946">
        <v>1833.3333333333335</v>
      </c>
      <c r="I441" s="947"/>
      <c r="J441" s="948"/>
      <c r="K441" s="946">
        <v>1833.3333333333335</v>
      </c>
      <c r="L441" s="947"/>
      <c r="M441" s="948"/>
      <c r="N441" s="946">
        <v>1833.3333333333335</v>
      </c>
      <c r="O441" s="947"/>
      <c r="P441" s="948"/>
      <c r="Q441" s="946">
        <v>1833.3333333333335</v>
      </c>
      <c r="R441" s="947"/>
      <c r="S441" s="948"/>
      <c r="T441" s="946">
        <v>1833.3333333333335</v>
      </c>
      <c r="U441" s="947"/>
      <c r="V441" s="948"/>
      <c r="W441" s="946">
        <v>1833.3333333333335</v>
      </c>
      <c r="X441" s="947"/>
      <c r="Y441" s="948"/>
      <c r="Z441" s="946">
        <v>1833.3333333333335</v>
      </c>
      <c r="AA441" s="947"/>
      <c r="AB441" s="948"/>
      <c r="AC441" s="946">
        <v>1833.3333333333335</v>
      </c>
      <c r="AD441" s="947"/>
      <c r="AE441" s="948"/>
      <c r="AF441" s="946">
        <v>1833.3333333333335</v>
      </c>
      <c r="AG441" s="947"/>
      <c r="AH441" s="948"/>
      <c r="AI441" s="946">
        <v>1833.3333333333335</v>
      </c>
      <c r="AJ441" s="947"/>
      <c r="AK441" s="948"/>
      <c r="AL441" s="946">
        <v>1833.3333333333335</v>
      </c>
      <c r="AM441" s="947"/>
      <c r="AN441" s="948"/>
      <c r="AO441" s="946">
        <v>1833.3333333333335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140592</v>
      </c>
      <c r="F442" s="961"/>
      <c r="G442" s="962"/>
      <c r="H442" s="963">
        <v>11716</v>
      </c>
      <c r="I442" s="961"/>
      <c r="J442" s="962"/>
      <c r="K442" s="963">
        <v>11716</v>
      </c>
      <c r="L442" s="961"/>
      <c r="M442" s="962"/>
      <c r="N442" s="963">
        <v>11716</v>
      </c>
      <c r="O442" s="961"/>
      <c r="P442" s="962"/>
      <c r="Q442" s="963">
        <v>11716</v>
      </c>
      <c r="R442" s="961"/>
      <c r="S442" s="962"/>
      <c r="T442" s="963">
        <v>11716</v>
      </c>
      <c r="U442" s="961"/>
      <c r="V442" s="962"/>
      <c r="W442" s="963">
        <v>11716</v>
      </c>
      <c r="X442" s="961"/>
      <c r="Y442" s="962"/>
      <c r="Z442" s="963">
        <v>11716</v>
      </c>
      <c r="AA442" s="961"/>
      <c r="AB442" s="962"/>
      <c r="AC442" s="963">
        <v>11716</v>
      </c>
      <c r="AD442" s="961"/>
      <c r="AE442" s="962"/>
      <c r="AF442" s="963">
        <v>11716</v>
      </c>
      <c r="AG442" s="961"/>
      <c r="AH442" s="962"/>
      <c r="AI442" s="963">
        <v>11716</v>
      </c>
      <c r="AJ442" s="961"/>
      <c r="AK442" s="962"/>
      <c r="AL442" s="963">
        <v>11716</v>
      </c>
      <c r="AM442" s="961"/>
      <c r="AN442" s="962"/>
      <c r="AO442" s="963">
        <v>11716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14010</v>
      </c>
      <c r="F444" s="947"/>
      <c r="G444" s="964"/>
      <c r="H444" s="946">
        <v>1167.5</v>
      </c>
      <c r="I444" s="947"/>
      <c r="J444" s="964"/>
      <c r="K444" s="946">
        <v>1167.5</v>
      </c>
      <c r="L444" s="947"/>
      <c r="M444" s="964"/>
      <c r="N444" s="946">
        <v>1167.5</v>
      </c>
      <c r="O444" s="947"/>
      <c r="P444" s="964"/>
      <c r="Q444" s="946">
        <v>1167.5</v>
      </c>
      <c r="R444" s="947"/>
      <c r="S444" s="964"/>
      <c r="T444" s="946">
        <v>1167.5</v>
      </c>
      <c r="U444" s="947"/>
      <c r="V444" s="964"/>
      <c r="W444" s="946">
        <v>1167.5</v>
      </c>
      <c r="X444" s="947"/>
      <c r="Y444" s="964"/>
      <c r="Z444" s="946">
        <v>1167.5</v>
      </c>
      <c r="AA444" s="947"/>
      <c r="AB444" s="964"/>
      <c r="AC444" s="946">
        <v>1167.5</v>
      </c>
      <c r="AD444" s="947"/>
      <c r="AE444" s="964"/>
      <c r="AF444" s="946">
        <v>1167.5</v>
      </c>
      <c r="AG444" s="947"/>
      <c r="AH444" s="964"/>
      <c r="AI444" s="946">
        <v>1167.5</v>
      </c>
      <c r="AJ444" s="947"/>
      <c r="AK444" s="964"/>
      <c r="AL444" s="946">
        <v>1167.5</v>
      </c>
      <c r="AM444" s="947"/>
      <c r="AN444" s="964"/>
      <c r="AO444" s="946">
        <v>1167.5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12720</v>
      </c>
      <c r="F445" s="947"/>
      <c r="G445" s="948"/>
      <c r="H445" s="946">
        <v>1060</v>
      </c>
      <c r="I445" s="947"/>
      <c r="J445" s="948"/>
      <c r="K445" s="946">
        <v>1060</v>
      </c>
      <c r="L445" s="947"/>
      <c r="M445" s="948"/>
      <c r="N445" s="946">
        <v>1060</v>
      </c>
      <c r="O445" s="947"/>
      <c r="P445" s="948"/>
      <c r="Q445" s="946">
        <v>1060</v>
      </c>
      <c r="R445" s="947"/>
      <c r="S445" s="948"/>
      <c r="T445" s="946">
        <v>1060</v>
      </c>
      <c r="U445" s="947"/>
      <c r="V445" s="948"/>
      <c r="W445" s="946">
        <v>1060</v>
      </c>
      <c r="X445" s="947"/>
      <c r="Y445" s="948"/>
      <c r="Z445" s="946">
        <v>1060</v>
      </c>
      <c r="AA445" s="947"/>
      <c r="AB445" s="948"/>
      <c r="AC445" s="946">
        <v>1060</v>
      </c>
      <c r="AD445" s="947"/>
      <c r="AE445" s="948"/>
      <c r="AF445" s="946">
        <v>1060</v>
      </c>
      <c r="AG445" s="947"/>
      <c r="AH445" s="948"/>
      <c r="AI445" s="946">
        <v>1060</v>
      </c>
      <c r="AJ445" s="947"/>
      <c r="AK445" s="948"/>
      <c r="AL445" s="946">
        <v>1060</v>
      </c>
      <c r="AM445" s="947"/>
      <c r="AN445" s="948"/>
      <c r="AO445" s="946">
        <v>1060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18900</v>
      </c>
      <c r="F446" s="947"/>
      <c r="G446" s="948"/>
      <c r="H446" s="946">
        <v>1575</v>
      </c>
      <c r="I446" s="947"/>
      <c r="J446" s="948"/>
      <c r="K446" s="946">
        <v>1575</v>
      </c>
      <c r="L446" s="947"/>
      <c r="M446" s="948"/>
      <c r="N446" s="946">
        <v>1575</v>
      </c>
      <c r="O446" s="947"/>
      <c r="P446" s="948"/>
      <c r="Q446" s="946">
        <v>1575</v>
      </c>
      <c r="R446" s="947"/>
      <c r="S446" s="948"/>
      <c r="T446" s="946">
        <v>1575</v>
      </c>
      <c r="U446" s="947"/>
      <c r="V446" s="948"/>
      <c r="W446" s="946">
        <v>1575</v>
      </c>
      <c r="X446" s="947"/>
      <c r="Y446" s="948"/>
      <c r="Z446" s="946">
        <v>1575</v>
      </c>
      <c r="AA446" s="947"/>
      <c r="AB446" s="948"/>
      <c r="AC446" s="946">
        <v>1575</v>
      </c>
      <c r="AD446" s="947"/>
      <c r="AE446" s="948"/>
      <c r="AF446" s="946">
        <v>1575</v>
      </c>
      <c r="AG446" s="947"/>
      <c r="AH446" s="948"/>
      <c r="AI446" s="946">
        <v>1575</v>
      </c>
      <c r="AJ446" s="947"/>
      <c r="AK446" s="948"/>
      <c r="AL446" s="946">
        <v>1575</v>
      </c>
      <c r="AM446" s="947"/>
      <c r="AN446" s="948"/>
      <c r="AO446" s="946">
        <v>1575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11400</v>
      </c>
      <c r="F448" s="947"/>
      <c r="G448" s="948"/>
      <c r="H448" s="946">
        <v>950</v>
      </c>
      <c r="I448" s="947"/>
      <c r="J448" s="948"/>
      <c r="K448" s="946">
        <v>950</v>
      </c>
      <c r="L448" s="947"/>
      <c r="M448" s="948"/>
      <c r="N448" s="946">
        <v>950</v>
      </c>
      <c r="O448" s="947"/>
      <c r="P448" s="948"/>
      <c r="Q448" s="946">
        <v>950</v>
      </c>
      <c r="R448" s="947"/>
      <c r="S448" s="948"/>
      <c r="T448" s="946">
        <v>950</v>
      </c>
      <c r="U448" s="947"/>
      <c r="V448" s="948"/>
      <c r="W448" s="946">
        <v>950</v>
      </c>
      <c r="X448" s="947"/>
      <c r="Y448" s="948"/>
      <c r="Z448" s="946">
        <v>950</v>
      </c>
      <c r="AA448" s="947"/>
      <c r="AB448" s="948"/>
      <c r="AC448" s="946">
        <v>950</v>
      </c>
      <c r="AD448" s="947"/>
      <c r="AE448" s="948"/>
      <c r="AF448" s="946">
        <v>950</v>
      </c>
      <c r="AG448" s="947"/>
      <c r="AH448" s="948"/>
      <c r="AI448" s="946">
        <v>950</v>
      </c>
      <c r="AJ448" s="947"/>
      <c r="AK448" s="948"/>
      <c r="AL448" s="946">
        <v>950</v>
      </c>
      <c r="AM448" s="947"/>
      <c r="AN448" s="948"/>
      <c r="AO448" s="946">
        <v>950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20892.000000000004</v>
      </c>
      <c r="F449" s="947"/>
      <c r="G449" s="948"/>
      <c r="H449" s="946">
        <v>1741.0000000000002</v>
      </c>
      <c r="I449" s="947"/>
      <c r="J449" s="948"/>
      <c r="K449" s="946">
        <v>1741.0000000000002</v>
      </c>
      <c r="L449" s="947"/>
      <c r="M449" s="948"/>
      <c r="N449" s="946">
        <v>1741.0000000000002</v>
      </c>
      <c r="O449" s="947"/>
      <c r="P449" s="948"/>
      <c r="Q449" s="946">
        <v>1741.0000000000002</v>
      </c>
      <c r="R449" s="947"/>
      <c r="S449" s="948"/>
      <c r="T449" s="946">
        <v>1741.0000000000002</v>
      </c>
      <c r="U449" s="947"/>
      <c r="V449" s="948"/>
      <c r="W449" s="946">
        <v>1741.0000000000002</v>
      </c>
      <c r="X449" s="947"/>
      <c r="Y449" s="948"/>
      <c r="Z449" s="946">
        <v>1741.0000000000002</v>
      </c>
      <c r="AA449" s="947"/>
      <c r="AB449" s="948"/>
      <c r="AC449" s="946">
        <v>1741.0000000000002</v>
      </c>
      <c r="AD449" s="947"/>
      <c r="AE449" s="948"/>
      <c r="AF449" s="946">
        <v>1741.0000000000002</v>
      </c>
      <c r="AG449" s="947"/>
      <c r="AH449" s="948"/>
      <c r="AI449" s="946">
        <v>1741.0000000000002</v>
      </c>
      <c r="AJ449" s="947"/>
      <c r="AK449" s="948"/>
      <c r="AL449" s="946">
        <v>1741.0000000000002</v>
      </c>
      <c r="AM449" s="947"/>
      <c r="AN449" s="948"/>
      <c r="AO449" s="946">
        <v>1741.0000000000002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30988.2536</v>
      </c>
      <c r="F450" s="947"/>
      <c r="G450" s="948"/>
      <c r="H450" s="946">
        <v>2582.3544666666662</v>
      </c>
      <c r="I450" s="947"/>
      <c r="J450" s="948"/>
      <c r="K450" s="946">
        <v>2582.3544666666662</v>
      </c>
      <c r="L450" s="947"/>
      <c r="M450" s="948"/>
      <c r="N450" s="946">
        <v>2582.3544666666662</v>
      </c>
      <c r="O450" s="947"/>
      <c r="P450" s="948"/>
      <c r="Q450" s="946">
        <v>2582.3544666666662</v>
      </c>
      <c r="R450" s="947"/>
      <c r="S450" s="948"/>
      <c r="T450" s="946">
        <v>2582.3544666666662</v>
      </c>
      <c r="U450" s="947"/>
      <c r="V450" s="948"/>
      <c r="W450" s="946">
        <v>2582.3544666666662</v>
      </c>
      <c r="X450" s="947"/>
      <c r="Y450" s="948"/>
      <c r="Z450" s="946">
        <v>2582.3544666666662</v>
      </c>
      <c r="AA450" s="947"/>
      <c r="AB450" s="948"/>
      <c r="AC450" s="946">
        <v>2582.3544666666662</v>
      </c>
      <c r="AD450" s="947"/>
      <c r="AE450" s="948"/>
      <c r="AF450" s="946">
        <v>2582.3544666666662</v>
      </c>
      <c r="AG450" s="947"/>
      <c r="AH450" s="948"/>
      <c r="AI450" s="946">
        <v>2582.3544666666662</v>
      </c>
      <c r="AJ450" s="947"/>
      <c r="AK450" s="948"/>
      <c r="AL450" s="946">
        <v>2582.3544666666662</v>
      </c>
      <c r="AM450" s="947"/>
      <c r="AN450" s="948"/>
      <c r="AO450" s="946">
        <v>2582.3544666666662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78526.351005882359</v>
      </c>
      <c r="F451" s="947"/>
      <c r="G451" s="948"/>
      <c r="H451" s="946">
        <v>4395.8945192278097</v>
      </c>
      <c r="I451" s="947"/>
      <c r="J451" s="948"/>
      <c r="K451" s="946">
        <v>4276.852218551021</v>
      </c>
      <c r="L451" s="947"/>
      <c r="M451" s="948"/>
      <c r="N451" s="946">
        <v>6858.014224883711</v>
      </c>
      <c r="O451" s="947"/>
      <c r="P451" s="948"/>
      <c r="Q451" s="946">
        <v>9074.2156600810195</v>
      </c>
      <c r="R451" s="947"/>
      <c r="S451" s="948"/>
      <c r="T451" s="946">
        <v>9404.2587733542696</v>
      </c>
      <c r="U451" s="947"/>
      <c r="V451" s="948"/>
      <c r="W451" s="946">
        <v>6578.0970558663003</v>
      </c>
      <c r="X451" s="947"/>
      <c r="Y451" s="948"/>
      <c r="Z451" s="946">
        <v>5972.5168204864858</v>
      </c>
      <c r="AA451" s="947"/>
      <c r="AB451" s="948"/>
      <c r="AC451" s="946">
        <v>6983.6378724392489</v>
      </c>
      <c r="AD451" s="947"/>
      <c r="AE451" s="948"/>
      <c r="AF451" s="946">
        <v>6937.8446673904728</v>
      </c>
      <c r="AG451" s="947"/>
      <c r="AH451" s="948"/>
      <c r="AI451" s="946">
        <v>6904.1409478158021</v>
      </c>
      <c r="AJ451" s="947"/>
      <c r="AK451" s="948"/>
      <c r="AL451" s="946">
        <v>6379.6195216605292</v>
      </c>
      <c r="AM451" s="947"/>
      <c r="AN451" s="948"/>
      <c r="AO451" s="946">
        <v>4761.2587241256833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0.19567157400063526</v>
      </c>
      <c r="D455" s="952"/>
      <c r="E455" s="953">
        <v>889953.60460588243</v>
      </c>
      <c r="F455" s="951">
        <v>0.26520697972010054</v>
      </c>
      <c r="G455" s="952"/>
      <c r="H455" s="953">
        <v>67125.529383730987</v>
      </c>
      <c r="I455" s="951">
        <v>0.28232274106166844</v>
      </c>
      <c r="J455" s="952"/>
      <c r="K455" s="953">
        <v>69949.148181592856</v>
      </c>
      <c r="L455" s="951">
        <v>0.21110849643770419</v>
      </c>
      <c r="M455" s="952"/>
      <c r="N455" s="953">
        <v>77790.722636224426</v>
      </c>
      <c r="O455" s="951">
        <v>0.16682111755300111</v>
      </c>
      <c r="P455" s="952"/>
      <c r="Q455" s="953">
        <v>80247.588514789531</v>
      </c>
      <c r="R455" s="951">
        <v>0.1433071102625218</v>
      </c>
      <c r="S455" s="952"/>
      <c r="T455" s="953">
        <v>77714.614750343113</v>
      </c>
      <c r="U455" s="951">
        <v>0.18775501037612669</v>
      </c>
      <c r="V455" s="952"/>
      <c r="W455" s="953">
        <v>72066.959062522816</v>
      </c>
      <c r="X455" s="951">
        <v>0.19773774143508188</v>
      </c>
      <c r="Y455" s="952"/>
      <c r="Z455" s="953">
        <v>71460.061895901643</v>
      </c>
      <c r="AA455" s="951">
        <v>0.19449512888269241</v>
      </c>
      <c r="AB455" s="952"/>
      <c r="AC455" s="953">
        <v>73736.894032514363</v>
      </c>
      <c r="AD455" s="951">
        <v>0.1881557594568026</v>
      </c>
      <c r="AE455" s="952"/>
      <c r="AF455" s="953">
        <v>73674.751701469431</v>
      </c>
      <c r="AG455" s="951">
        <v>0.18411644625400597</v>
      </c>
      <c r="AH455" s="952"/>
      <c r="AI455" s="953">
        <v>78084.95426465584</v>
      </c>
      <c r="AJ455" s="951">
        <v>0.17815731731811998</v>
      </c>
      <c r="AK455" s="952"/>
      <c r="AL455" s="953">
        <v>77631.42440664937</v>
      </c>
      <c r="AM455" s="951">
        <v>0.25190457123426097</v>
      </c>
      <c r="AN455" s="952"/>
      <c r="AO455" s="953">
        <v>70470.955775488022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71196.84</v>
      </c>
      <c r="F457" s="947"/>
      <c r="G457" s="948"/>
      <c r="H457" s="954">
        <v>5933.07</v>
      </c>
      <c r="I457" s="947"/>
      <c r="J457" s="948"/>
      <c r="K457" s="954">
        <v>5933.07</v>
      </c>
      <c r="L457" s="947"/>
      <c r="M457" s="948"/>
      <c r="N457" s="954">
        <v>5933.07</v>
      </c>
      <c r="O457" s="947"/>
      <c r="P457" s="948"/>
      <c r="Q457" s="954">
        <v>5933.07</v>
      </c>
      <c r="R457" s="947"/>
      <c r="S457" s="948"/>
      <c r="T457" s="954">
        <v>5933.07</v>
      </c>
      <c r="U457" s="947"/>
      <c r="V457" s="948"/>
      <c r="W457" s="954">
        <v>5933.07</v>
      </c>
      <c r="X457" s="947"/>
      <c r="Y457" s="948"/>
      <c r="Z457" s="954">
        <v>5933.07</v>
      </c>
      <c r="AA457" s="947"/>
      <c r="AB457" s="948"/>
      <c r="AC457" s="954">
        <v>5933.07</v>
      </c>
      <c r="AD457" s="947"/>
      <c r="AE457" s="948"/>
      <c r="AF457" s="954">
        <v>5933.07</v>
      </c>
      <c r="AG457" s="947"/>
      <c r="AH457" s="948"/>
      <c r="AI457" s="954">
        <v>5933.07</v>
      </c>
      <c r="AJ457" s="947"/>
      <c r="AK457" s="948"/>
      <c r="AL457" s="954">
        <v>5933.07</v>
      </c>
      <c r="AM457" s="947"/>
      <c r="AN457" s="948"/>
      <c r="AO457" s="954">
        <v>5933.07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30513</v>
      </c>
      <c r="F458" s="949"/>
      <c r="G458" s="950"/>
      <c r="H458" s="965">
        <v>2542.75</v>
      </c>
      <c r="I458" s="949"/>
      <c r="J458" s="950"/>
      <c r="K458" s="965">
        <v>2542.75</v>
      </c>
      <c r="L458" s="949"/>
      <c r="M458" s="950"/>
      <c r="N458" s="965">
        <v>2542.75</v>
      </c>
      <c r="O458" s="949"/>
      <c r="P458" s="950"/>
      <c r="Q458" s="965">
        <v>2542.75</v>
      </c>
      <c r="R458" s="949"/>
      <c r="S458" s="950"/>
      <c r="T458" s="965">
        <v>2542.75</v>
      </c>
      <c r="U458" s="949"/>
      <c r="V458" s="950"/>
      <c r="W458" s="965">
        <v>2542.75</v>
      </c>
      <c r="X458" s="949"/>
      <c r="Y458" s="950"/>
      <c r="Z458" s="965">
        <v>2542.75</v>
      </c>
      <c r="AA458" s="949"/>
      <c r="AB458" s="950"/>
      <c r="AC458" s="965">
        <v>2542.75</v>
      </c>
      <c r="AD458" s="949"/>
      <c r="AE458" s="950"/>
      <c r="AF458" s="965">
        <v>2542.75</v>
      </c>
      <c r="AG458" s="949"/>
      <c r="AH458" s="950"/>
      <c r="AI458" s="965">
        <v>2542.75</v>
      </c>
      <c r="AJ458" s="949"/>
      <c r="AK458" s="950"/>
      <c r="AL458" s="965">
        <v>2542.75</v>
      </c>
      <c r="AM458" s="949"/>
      <c r="AN458" s="950"/>
      <c r="AO458" s="965">
        <v>2542.75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58248</v>
      </c>
      <c r="F460" s="949"/>
      <c r="G460" s="950"/>
      <c r="H460" s="965">
        <v>4854</v>
      </c>
      <c r="I460" s="949"/>
      <c r="J460" s="950"/>
      <c r="K460" s="965">
        <v>4854</v>
      </c>
      <c r="L460" s="949"/>
      <c r="M460" s="950"/>
      <c r="N460" s="965">
        <v>4854</v>
      </c>
      <c r="O460" s="949"/>
      <c r="P460" s="950"/>
      <c r="Q460" s="965">
        <v>4854</v>
      </c>
      <c r="R460" s="949"/>
      <c r="S460" s="950"/>
      <c r="T460" s="965">
        <v>4854</v>
      </c>
      <c r="U460" s="949"/>
      <c r="V460" s="950"/>
      <c r="W460" s="965">
        <v>4854</v>
      </c>
      <c r="X460" s="949"/>
      <c r="Y460" s="950"/>
      <c r="Z460" s="965">
        <v>4854</v>
      </c>
      <c r="AA460" s="949"/>
      <c r="AB460" s="950"/>
      <c r="AC460" s="965">
        <v>4854</v>
      </c>
      <c r="AD460" s="949"/>
      <c r="AE460" s="950"/>
      <c r="AF460" s="965">
        <v>4854</v>
      </c>
      <c r="AG460" s="949"/>
      <c r="AH460" s="950"/>
      <c r="AI460" s="965">
        <v>4854</v>
      </c>
      <c r="AJ460" s="949"/>
      <c r="AK460" s="950"/>
      <c r="AL460" s="965">
        <v>4854</v>
      </c>
      <c r="AM460" s="949"/>
      <c r="AN460" s="950"/>
      <c r="AO460" s="965">
        <v>4854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60000</v>
      </c>
      <c r="F461" s="947"/>
      <c r="G461" s="948"/>
      <c r="H461" s="954">
        <v>5000</v>
      </c>
      <c r="I461" s="947"/>
      <c r="J461" s="948"/>
      <c r="K461" s="954">
        <v>5000</v>
      </c>
      <c r="L461" s="947"/>
      <c r="M461" s="948"/>
      <c r="N461" s="954">
        <v>5000</v>
      </c>
      <c r="O461" s="947"/>
      <c r="P461" s="948"/>
      <c r="Q461" s="954">
        <v>5000</v>
      </c>
      <c r="R461" s="947"/>
      <c r="S461" s="948"/>
      <c r="T461" s="954">
        <v>5000</v>
      </c>
      <c r="U461" s="947"/>
      <c r="V461" s="948"/>
      <c r="W461" s="954">
        <v>5000</v>
      </c>
      <c r="X461" s="947"/>
      <c r="Y461" s="948"/>
      <c r="Z461" s="954">
        <v>5000</v>
      </c>
      <c r="AA461" s="947"/>
      <c r="AB461" s="948"/>
      <c r="AC461" s="954">
        <v>5000</v>
      </c>
      <c r="AD461" s="947"/>
      <c r="AE461" s="948"/>
      <c r="AF461" s="954">
        <v>5000</v>
      </c>
      <c r="AG461" s="947"/>
      <c r="AH461" s="948"/>
      <c r="AI461" s="954">
        <v>5000</v>
      </c>
      <c r="AJ461" s="947"/>
      <c r="AK461" s="948"/>
      <c r="AL461" s="954">
        <v>5000</v>
      </c>
      <c r="AM461" s="947"/>
      <c r="AN461" s="948"/>
      <c r="AO461" s="954">
        <v>5000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78496</v>
      </c>
      <c r="F462" s="947"/>
      <c r="G462" s="948"/>
      <c r="H462" s="954">
        <v>6541.333333333333</v>
      </c>
      <c r="I462" s="947"/>
      <c r="J462" s="948"/>
      <c r="K462" s="954">
        <v>6541.333333333333</v>
      </c>
      <c r="L462" s="947"/>
      <c r="M462" s="948"/>
      <c r="N462" s="954">
        <v>6541.333333333333</v>
      </c>
      <c r="O462" s="947"/>
      <c r="P462" s="948"/>
      <c r="Q462" s="954">
        <v>6541.333333333333</v>
      </c>
      <c r="R462" s="947"/>
      <c r="S462" s="948"/>
      <c r="T462" s="954">
        <v>6541.333333333333</v>
      </c>
      <c r="U462" s="947"/>
      <c r="V462" s="948"/>
      <c r="W462" s="954">
        <v>6541.333333333333</v>
      </c>
      <c r="X462" s="947"/>
      <c r="Y462" s="948"/>
      <c r="Z462" s="954">
        <v>6541.333333333333</v>
      </c>
      <c r="AA462" s="947"/>
      <c r="AB462" s="948"/>
      <c r="AC462" s="954">
        <v>6541.333333333333</v>
      </c>
      <c r="AD462" s="947"/>
      <c r="AE462" s="948"/>
      <c r="AF462" s="954">
        <v>6541.333333333333</v>
      </c>
      <c r="AG462" s="947"/>
      <c r="AH462" s="948"/>
      <c r="AI462" s="954">
        <v>6541.333333333333</v>
      </c>
      <c r="AJ462" s="947"/>
      <c r="AK462" s="948"/>
      <c r="AL462" s="954">
        <v>6541.333333333333</v>
      </c>
      <c r="AM462" s="947"/>
      <c r="AN462" s="948"/>
      <c r="AO462" s="954">
        <v>6541.333333333333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5200</v>
      </c>
      <c r="F463" s="949"/>
      <c r="G463" s="950"/>
      <c r="H463" s="965">
        <v>433.33333333333331</v>
      </c>
      <c r="I463" s="949"/>
      <c r="J463" s="950"/>
      <c r="K463" s="965">
        <v>433.33333333333331</v>
      </c>
      <c r="L463" s="949"/>
      <c r="M463" s="950"/>
      <c r="N463" s="965">
        <v>433.33333333333331</v>
      </c>
      <c r="O463" s="949"/>
      <c r="P463" s="950"/>
      <c r="Q463" s="965">
        <v>433.33333333333331</v>
      </c>
      <c r="R463" s="949"/>
      <c r="S463" s="950"/>
      <c r="T463" s="965">
        <v>433.33333333333331</v>
      </c>
      <c r="U463" s="949"/>
      <c r="V463" s="950"/>
      <c r="W463" s="965">
        <v>433.33333333333331</v>
      </c>
      <c r="X463" s="949"/>
      <c r="Y463" s="950"/>
      <c r="Z463" s="965">
        <v>433.33333333333331</v>
      </c>
      <c r="AA463" s="949"/>
      <c r="AB463" s="950"/>
      <c r="AC463" s="965">
        <v>433.33333333333331</v>
      </c>
      <c r="AD463" s="949"/>
      <c r="AE463" s="950"/>
      <c r="AF463" s="965">
        <v>433.33333333333331</v>
      </c>
      <c r="AG463" s="949"/>
      <c r="AH463" s="950"/>
      <c r="AI463" s="965">
        <v>433.33333333333331</v>
      </c>
      <c r="AJ463" s="949"/>
      <c r="AK463" s="950"/>
      <c r="AL463" s="965">
        <v>433.33333333333331</v>
      </c>
      <c r="AM463" s="949"/>
      <c r="AN463" s="950"/>
      <c r="AO463" s="965">
        <v>433.33333333333331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2544.0000000000005</v>
      </c>
      <c r="F464" s="947"/>
      <c r="G464" s="948"/>
      <c r="H464" s="954">
        <v>212.00000000000003</v>
      </c>
      <c r="I464" s="947"/>
      <c r="J464" s="948"/>
      <c r="K464" s="954">
        <v>212.00000000000003</v>
      </c>
      <c r="L464" s="947"/>
      <c r="M464" s="948"/>
      <c r="N464" s="954">
        <v>212.00000000000003</v>
      </c>
      <c r="O464" s="947"/>
      <c r="P464" s="948"/>
      <c r="Q464" s="954">
        <v>212.00000000000003</v>
      </c>
      <c r="R464" s="947"/>
      <c r="S464" s="948"/>
      <c r="T464" s="954">
        <v>212.00000000000003</v>
      </c>
      <c r="U464" s="947"/>
      <c r="V464" s="948"/>
      <c r="W464" s="954">
        <v>212.00000000000003</v>
      </c>
      <c r="X464" s="947"/>
      <c r="Y464" s="948"/>
      <c r="Z464" s="954">
        <v>212.00000000000003</v>
      </c>
      <c r="AA464" s="947"/>
      <c r="AB464" s="948"/>
      <c r="AC464" s="954">
        <v>212.00000000000003</v>
      </c>
      <c r="AD464" s="947"/>
      <c r="AE464" s="948"/>
      <c r="AF464" s="954">
        <v>212.00000000000003</v>
      </c>
      <c r="AG464" s="947"/>
      <c r="AH464" s="948"/>
      <c r="AI464" s="954">
        <v>212.00000000000003</v>
      </c>
      <c r="AJ464" s="947"/>
      <c r="AK464" s="948"/>
      <c r="AL464" s="954">
        <v>212.00000000000003</v>
      </c>
      <c r="AM464" s="947"/>
      <c r="AN464" s="948"/>
      <c r="AO464" s="954">
        <v>212.00000000000003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0.19924314794735962</v>
      </c>
      <c r="D469" s="952"/>
      <c r="E469" s="953">
        <v>906197.84</v>
      </c>
      <c r="F469" s="951">
        <v>0.29835890356186773</v>
      </c>
      <c r="G469" s="952"/>
      <c r="H469" s="953">
        <v>75516.486666666664</v>
      </c>
      <c r="I469" s="951">
        <v>0.30479315424588177</v>
      </c>
      <c r="J469" s="952"/>
      <c r="K469" s="953">
        <v>75516.486666666664</v>
      </c>
      <c r="L469" s="951">
        <v>0.20493667388859324</v>
      </c>
      <c r="M469" s="952"/>
      <c r="N469" s="953">
        <v>75516.486666666664</v>
      </c>
      <c r="O469" s="951">
        <v>0.15698595973495069</v>
      </c>
      <c r="P469" s="952"/>
      <c r="Q469" s="953">
        <v>75516.486666666664</v>
      </c>
      <c r="R469" s="951">
        <v>0.13925372359039426</v>
      </c>
      <c r="S469" s="952"/>
      <c r="T469" s="953">
        <v>75516.486666666664</v>
      </c>
      <c r="U469" s="951">
        <v>0.19674201495539403</v>
      </c>
      <c r="V469" s="952"/>
      <c r="W469" s="953">
        <v>75516.486666666664</v>
      </c>
      <c r="X469" s="951">
        <v>0.20896230871352695</v>
      </c>
      <c r="Y469" s="952"/>
      <c r="Z469" s="953">
        <v>75516.486666666664</v>
      </c>
      <c r="AA469" s="951">
        <v>0.1991891440467366</v>
      </c>
      <c r="AB469" s="952"/>
      <c r="AC469" s="953">
        <v>75516.486666666664</v>
      </c>
      <c r="AD469" s="951">
        <v>0.19285931166555639</v>
      </c>
      <c r="AE469" s="952"/>
      <c r="AF469" s="953">
        <v>75516.486666666664</v>
      </c>
      <c r="AG469" s="951">
        <v>0.17806025872193001</v>
      </c>
      <c r="AH469" s="952"/>
      <c r="AI469" s="953">
        <v>75516.486666666664</v>
      </c>
      <c r="AJ469" s="951">
        <v>0.17330372050561715</v>
      </c>
      <c r="AK469" s="952"/>
      <c r="AL469" s="953">
        <v>75516.486666666664</v>
      </c>
      <c r="AM469" s="951">
        <v>0.26994026099900326</v>
      </c>
      <c r="AN469" s="952"/>
      <c r="AO469" s="953">
        <v>75516.486666666664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215580.60460588237</v>
      </c>
      <c r="F470" s="966"/>
      <c r="G470" s="967"/>
      <c r="H470" s="968">
        <v>15817.082319227809</v>
      </c>
      <c r="I470" s="966"/>
      <c r="J470" s="967"/>
      <c r="K470" s="968">
        <v>15698.040018551021</v>
      </c>
      <c r="L470" s="966"/>
      <c r="M470" s="967"/>
      <c r="N470" s="968">
        <v>18279.202024883711</v>
      </c>
      <c r="O470" s="966"/>
      <c r="P470" s="967"/>
      <c r="Q470" s="968">
        <v>20495.403460081016</v>
      </c>
      <c r="R470" s="966"/>
      <c r="S470" s="967"/>
      <c r="T470" s="968">
        <v>20825.446573354267</v>
      </c>
      <c r="U470" s="966"/>
      <c r="V470" s="967"/>
      <c r="W470" s="968">
        <v>17999.284855866299</v>
      </c>
      <c r="X470" s="966"/>
      <c r="Y470" s="967"/>
      <c r="Z470" s="968">
        <v>17393.704620486486</v>
      </c>
      <c r="AA470" s="966"/>
      <c r="AB470" s="967"/>
      <c r="AC470" s="968">
        <v>18404.825672439245</v>
      </c>
      <c r="AD470" s="966"/>
      <c r="AE470" s="967"/>
      <c r="AF470" s="968">
        <v>18359.032467390472</v>
      </c>
      <c r="AG470" s="966"/>
      <c r="AH470" s="967"/>
      <c r="AI470" s="968">
        <v>18325.328747815798</v>
      </c>
      <c r="AJ470" s="966"/>
      <c r="AK470" s="967"/>
      <c r="AL470" s="968">
        <v>17800.807321660526</v>
      </c>
      <c r="AM470" s="966"/>
      <c r="AN470" s="967"/>
      <c r="AO470" s="968">
        <v>16182.446524125682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1.1539911789365309</v>
      </c>
      <c r="D471" s="952"/>
      <c r="E471" s="953">
        <v>5248583.5749173425</v>
      </c>
      <c r="F471" s="951">
        <v>1.6348001101261123</v>
      </c>
      <c r="G471" s="952"/>
      <c r="H471" s="953">
        <v>413778.03459250298</v>
      </c>
      <c r="I471" s="951">
        <v>1.5802001313784004</v>
      </c>
      <c r="J471" s="952"/>
      <c r="K471" s="953">
        <v>391515.23086911405</v>
      </c>
      <c r="L471" s="951">
        <v>1.206064867948982</v>
      </c>
      <c r="M471" s="952"/>
      <c r="N471" s="953">
        <v>444419.14563869464</v>
      </c>
      <c r="O471" s="951">
        <v>1.0151232970558672</v>
      </c>
      <c r="P471" s="952"/>
      <c r="Q471" s="953">
        <v>488314.6560149045</v>
      </c>
      <c r="R471" s="951">
        <v>0.89391442584903413</v>
      </c>
      <c r="S471" s="952"/>
      <c r="T471" s="953">
        <v>484764.60866017442</v>
      </c>
      <c r="U471" s="951">
        <v>1.1191979853826506</v>
      </c>
      <c r="V471" s="952"/>
      <c r="W471" s="953">
        <v>429587.44607587403</v>
      </c>
      <c r="X471" s="951">
        <v>1.1842067235944371</v>
      </c>
      <c r="Y471" s="952"/>
      <c r="Z471" s="953">
        <v>427958.1892229896</v>
      </c>
      <c r="AA471" s="951">
        <v>1.143923282656639</v>
      </c>
      <c r="AB471" s="952"/>
      <c r="AC471" s="953">
        <v>433683.61130243493</v>
      </c>
      <c r="AD471" s="951">
        <v>1.1214169419624289</v>
      </c>
      <c r="AE471" s="952"/>
      <c r="AF471" s="953">
        <v>439104.89368714381</v>
      </c>
      <c r="AG471" s="951">
        <v>1.0711117264458054</v>
      </c>
      <c r="AH471" s="952"/>
      <c r="AI471" s="953">
        <v>454265.28630946518</v>
      </c>
      <c r="AJ471" s="951">
        <v>0.96724246889110199</v>
      </c>
      <c r="AK471" s="952"/>
      <c r="AL471" s="953">
        <v>421472.50383514515</v>
      </c>
      <c r="AM471" s="951">
        <v>1.5003255964473321</v>
      </c>
      <c r="AN471" s="952"/>
      <c r="AO471" s="953">
        <v>419719.96870889899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0</v>
      </c>
      <c r="F472" s="969"/>
      <c r="G472" s="970"/>
      <c r="H472" s="971">
        <v>0</v>
      </c>
      <c r="I472" s="969"/>
      <c r="J472" s="970"/>
      <c r="K472" s="971">
        <v>0</v>
      </c>
      <c r="L472" s="969"/>
      <c r="M472" s="970"/>
      <c r="N472" s="971">
        <v>0</v>
      </c>
      <c r="O472" s="969"/>
      <c r="P472" s="970"/>
      <c r="Q472" s="971">
        <v>0</v>
      </c>
      <c r="R472" s="969"/>
      <c r="S472" s="970"/>
      <c r="T472" s="971">
        <v>0</v>
      </c>
      <c r="U472" s="969"/>
      <c r="V472" s="970"/>
      <c r="W472" s="971">
        <v>0</v>
      </c>
      <c r="X472" s="969"/>
      <c r="Y472" s="970"/>
      <c r="Z472" s="971">
        <v>0</v>
      </c>
      <c r="AA472" s="969"/>
      <c r="AB472" s="970"/>
      <c r="AC472" s="971">
        <v>0</v>
      </c>
      <c r="AD472" s="969"/>
      <c r="AE472" s="970"/>
      <c r="AF472" s="971">
        <v>0</v>
      </c>
      <c r="AG472" s="969"/>
      <c r="AH472" s="970"/>
      <c r="AI472" s="971">
        <v>0</v>
      </c>
      <c r="AJ472" s="969"/>
      <c r="AK472" s="970"/>
      <c r="AL472" s="971">
        <v>0</v>
      </c>
      <c r="AM472" s="969"/>
      <c r="AN472" s="970"/>
      <c r="AO472" s="971">
        <v>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470608.44</v>
      </c>
      <c r="F473" s="972"/>
      <c r="G473" s="973"/>
      <c r="H473" s="946">
        <v>25669.551272727276</v>
      </c>
      <c r="I473" s="972"/>
      <c r="J473" s="973"/>
      <c r="K473" s="946">
        <v>22246.944436363639</v>
      </c>
      <c r="L473" s="972"/>
      <c r="M473" s="973"/>
      <c r="N473" s="946">
        <v>44493.888872727279</v>
      </c>
      <c r="O473" s="972"/>
      <c r="P473" s="973"/>
      <c r="Q473" s="946">
        <v>56473.012800000004</v>
      </c>
      <c r="R473" s="972"/>
      <c r="S473" s="973"/>
      <c r="T473" s="946">
        <v>61606.923054545456</v>
      </c>
      <c r="U473" s="972"/>
      <c r="V473" s="973"/>
      <c r="W473" s="946">
        <v>39359.97861818182</v>
      </c>
      <c r="X473" s="972"/>
      <c r="Y473" s="973"/>
      <c r="Z473" s="946">
        <v>29092.158109090909</v>
      </c>
      <c r="AA473" s="972"/>
      <c r="AB473" s="973"/>
      <c r="AC473" s="946">
        <v>37648.675199999998</v>
      </c>
      <c r="AD473" s="972"/>
      <c r="AE473" s="973"/>
      <c r="AF473" s="946">
        <v>44493.888872727279</v>
      </c>
      <c r="AG473" s="972"/>
      <c r="AH473" s="973"/>
      <c r="AI473" s="946">
        <v>42782.585454545457</v>
      </c>
      <c r="AJ473" s="972"/>
      <c r="AK473" s="973"/>
      <c r="AL473" s="946">
        <v>35937.371781818183</v>
      </c>
      <c r="AM473" s="972"/>
      <c r="AN473" s="973"/>
      <c r="AO473" s="946">
        <v>30803.461527272728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435312.80699999997</v>
      </c>
      <c r="F474" s="972"/>
      <c r="G474" s="973"/>
      <c r="H474" s="946">
        <v>23744.334927272728</v>
      </c>
      <c r="I474" s="972"/>
      <c r="J474" s="973"/>
      <c r="K474" s="946">
        <v>20578.423603636365</v>
      </c>
      <c r="L474" s="972"/>
      <c r="M474" s="973"/>
      <c r="N474" s="946">
        <v>41156.847207272731</v>
      </c>
      <c r="O474" s="972"/>
      <c r="P474" s="973"/>
      <c r="Q474" s="946">
        <v>52237.536840000001</v>
      </c>
      <c r="R474" s="972"/>
      <c r="S474" s="973"/>
      <c r="T474" s="946">
        <v>56986.403825454545</v>
      </c>
      <c r="U474" s="972"/>
      <c r="V474" s="973"/>
      <c r="W474" s="946">
        <v>36407.980221818179</v>
      </c>
      <c r="X474" s="972"/>
      <c r="Y474" s="973"/>
      <c r="Z474" s="946">
        <v>26910.246250909091</v>
      </c>
      <c r="AA474" s="972"/>
      <c r="AB474" s="973"/>
      <c r="AC474" s="946">
        <v>34825.024559999998</v>
      </c>
      <c r="AD474" s="972"/>
      <c r="AE474" s="973"/>
      <c r="AF474" s="946">
        <v>41156.847207272731</v>
      </c>
      <c r="AG474" s="972"/>
      <c r="AH474" s="973"/>
      <c r="AI474" s="946">
        <v>39573.891545454549</v>
      </c>
      <c r="AJ474" s="972"/>
      <c r="AK474" s="973"/>
      <c r="AL474" s="946">
        <v>33242.068898181817</v>
      </c>
      <c r="AM474" s="972"/>
      <c r="AN474" s="973"/>
      <c r="AO474" s="946">
        <v>28493.201912727272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28125</v>
      </c>
      <c r="F477" s="972"/>
      <c r="G477" s="973"/>
      <c r="H477" s="946">
        <v>1500</v>
      </c>
      <c r="I477" s="972"/>
      <c r="J477" s="973"/>
      <c r="K477" s="946">
        <v>1875</v>
      </c>
      <c r="L477" s="972"/>
      <c r="M477" s="973"/>
      <c r="N477" s="946">
        <v>2250</v>
      </c>
      <c r="O477" s="972"/>
      <c r="P477" s="973"/>
      <c r="Q477" s="946">
        <v>3375</v>
      </c>
      <c r="R477" s="972"/>
      <c r="S477" s="973"/>
      <c r="T477" s="946">
        <v>3000</v>
      </c>
      <c r="U477" s="972"/>
      <c r="V477" s="973"/>
      <c r="W477" s="946">
        <v>2250</v>
      </c>
      <c r="X477" s="972"/>
      <c r="Y477" s="973"/>
      <c r="Z477" s="946">
        <v>2625</v>
      </c>
      <c r="AA477" s="972"/>
      <c r="AB477" s="973"/>
      <c r="AC477" s="946">
        <v>3000</v>
      </c>
      <c r="AD477" s="972"/>
      <c r="AE477" s="973"/>
      <c r="AF477" s="946">
        <v>2250</v>
      </c>
      <c r="AG477" s="972"/>
      <c r="AH477" s="973"/>
      <c r="AI477" s="946">
        <v>2250</v>
      </c>
      <c r="AJ477" s="972"/>
      <c r="AK477" s="973"/>
      <c r="AL477" s="946">
        <v>2250</v>
      </c>
      <c r="AM477" s="972"/>
      <c r="AN477" s="973"/>
      <c r="AO477" s="946">
        <v>1500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10050</v>
      </c>
      <c r="F478" s="972"/>
      <c r="G478" s="973"/>
      <c r="H478" s="946">
        <v>536</v>
      </c>
      <c r="I478" s="972"/>
      <c r="J478" s="973"/>
      <c r="K478" s="946">
        <v>670</v>
      </c>
      <c r="L478" s="972"/>
      <c r="M478" s="973"/>
      <c r="N478" s="946">
        <v>804</v>
      </c>
      <c r="O478" s="972"/>
      <c r="P478" s="973"/>
      <c r="Q478" s="946">
        <v>1206</v>
      </c>
      <c r="R478" s="972"/>
      <c r="S478" s="973"/>
      <c r="T478" s="946">
        <v>1072</v>
      </c>
      <c r="U478" s="972"/>
      <c r="V478" s="973"/>
      <c r="W478" s="946">
        <v>804</v>
      </c>
      <c r="X478" s="972"/>
      <c r="Y478" s="973"/>
      <c r="Z478" s="946">
        <v>938</v>
      </c>
      <c r="AA478" s="972"/>
      <c r="AB478" s="973"/>
      <c r="AC478" s="946">
        <v>1072</v>
      </c>
      <c r="AD478" s="972"/>
      <c r="AE478" s="973"/>
      <c r="AF478" s="946">
        <v>804</v>
      </c>
      <c r="AG478" s="972"/>
      <c r="AH478" s="973"/>
      <c r="AI478" s="946">
        <v>804</v>
      </c>
      <c r="AJ478" s="972"/>
      <c r="AK478" s="973"/>
      <c r="AL478" s="946">
        <v>804</v>
      </c>
      <c r="AM478" s="972"/>
      <c r="AN478" s="973"/>
      <c r="AO478" s="946">
        <v>536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247069.43100000004</v>
      </c>
      <c r="F480" s="972"/>
      <c r="G480" s="973"/>
      <c r="H480" s="946">
        <v>13476.51441818182</v>
      </c>
      <c r="I480" s="972"/>
      <c r="J480" s="973"/>
      <c r="K480" s="946">
        <v>11679.64582909091</v>
      </c>
      <c r="L480" s="972"/>
      <c r="M480" s="973"/>
      <c r="N480" s="946">
        <v>23359.291658181821</v>
      </c>
      <c r="O480" s="972"/>
      <c r="P480" s="973"/>
      <c r="Q480" s="946">
        <v>29648.331720000002</v>
      </c>
      <c r="R480" s="972"/>
      <c r="S480" s="973"/>
      <c r="T480" s="946">
        <v>32343.634603636368</v>
      </c>
      <c r="U480" s="972"/>
      <c r="V480" s="973"/>
      <c r="W480" s="946">
        <v>20663.988774545454</v>
      </c>
      <c r="X480" s="972"/>
      <c r="Y480" s="973"/>
      <c r="Z480" s="946">
        <v>15273.383007272729</v>
      </c>
      <c r="AA480" s="972"/>
      <c r="AB480" s="973"/>
      <c r="AC480" s="946">
        <v>19765.554480000003</v>
      </c>
      <c r="AD480" s="972"/>
      <c r="AE480" s="973"/>
      <c r="AF480" s="946">
        <v>23359.291658181821</v>
      </c>
      <c r="AG480" s="972"/>
      <c r="AH480" s="973"/>
      <c r="AI480" s="946">
        <v>22460.857363636369</v>
      </c>
      <c r="AJ480" s="972"/>
      <c r="AK480" s="973"/>
      <c r="AL480" s="946">
        <v>18867.120185454547</v>
      </c>
      <c r="AM480" s="972"/>
      <c r="AN480" s="973"/>
      <c r="AO480" s="946">
        <v>16171.817301818184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270528.64999999997</v>
      </c>
      <c r="F483" s="974"/>
      <c r="G483" s="973"/>
      <c r="H483" s="946">
        <v>14717.325000000001</v>
      </c>
      <c r="I483" s="974"/>
      <c r="J483" s="973"/>
      <c r="K483" s="946">
        <v>15026.724999999999</v>
      </c>
      <c r="L483" s="974"/>
      <c r="M483" s="973"/>
      <c r="N483" s="946">
        <v>23541.174999999999</v>
      </c>
      <c r="O483" s="974"/>
      <c r="P483" s="973"/>
      <c r="Q483" s="946">
        <v>32088.35</v>
      </c>
      <c r="R483" s="974"/>
      <c r="S483" s="973"/>
      <c r="T483" s="946">
        <v>32951.1</v>
      </c>
      <c r="U483" s="974"/>
      <c r="V483" s="973"/>
      <c r="W483" s="946">
        <v>22369.025000000001</v>
      </c>
      <c r="X483" s="974"/>
      <c r="Y483" s="973"/>
      <c r="Z483" s="946">
        <v>20334.125</v>
      </c>
      <c r="AA483" s="974"/>
      <c r="AB483" s="973"/>
      <c r="AC483" s="946">
        <v>24746.05</v>
      </c>
      <c r="AD483" s="974"/>
      <c r="AE483" s="973"/>
      <c r="AF483" s="946">
        <v>23541.174999999999</v>
      </c>
      <c r="AG483" s="974"/>
      <c r="AH483" s="973"/>
      <c r="AI483" s="946">
        <v>23541.174999999999</v>
      </c>
      <c r="AJ483" s="974"/>
      <c r="AK483" s="973"/>
      <c r="AL483" s="946">
        <v>21196.875</v>
      </c>
      <c r="AM483" s="974"/>
      <c r="AN483" s="973"/>
      <c r="AO483" s="946">
        <v>16475.55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0.32137858466703079</v>
      </c>
      <c r="D484" s="975"/>
      <c r="E484" s="953">
        <v>1461694.328</v>
      </c>
      <c r="F484" s="951">
        <v>0.31466525655399441</v>
      </c>
      <c r="G484" s="975"/>
      <c r="H484" s="953">
        <v>79643.725618181823</v>
      </c>
      <c r="I484" s="951">
        <v>0.29090993976768209</v>
      </c>
      <c r="J484" s="975"/>
      <c r="K484" s="953">
        <v>72076.738869090914</v>
      </c>
      <c r="L484" s="951">
        <v>0.36800545732244966</v>
      </c>
      <c r="M484" s="975"/>
      <c r="N484" s="953">
        <v>135605.2027381818</v>
      </c>
      <c r="O484" s="951">
        <v>0.36385398862695056</v>
      </c>
      <c r="P484" s="975"/>
      <c r="Q484" s="953">
        <v>175028.23136000001</v>
      </c>
      <c r="R484" s="951">
        <v>0.34660164426623413</v>
      </c>
      <c r="S484" s="975"/>
      <c r="T484" s="953">
        <v>187960.06148363638</v>
      </c>
      <c r="U484" s="951">
        <v>0.31746700492492941</v>
      </c>
      <c r="V484" s="975"/>
      <c r="W484" s="953">
        <v>121854.97261454546</v>
      </c>
      <c r="X484" s="951">
        <v>0.26335377045598107</v>
      </c>
      <c r="Y484" s="975"/>
      <c r="Z484" s="953">
        <v>95172.912367272729</v>
      </c>
      <c r="AA484" s="951">
        <v>0.31931174074090901</v>
      </c>
      <c r="AB484" s="975"/>
      <c r="AC484" s="953">
        <v>121057.30424</v>
      </c>
      <c r="AD484" s="951">
        <v>0.34631809837490629</v>
      </c>
      <c r="AE484" s="975"/>
      <c r="AF484" s="953">
        <v>135605.2027381818</v>
      </c>
      <c r="AG484" s="951">
        <v>0.30985744238702412</v>
      </c>
      <c r="AH484" s="975"/>
      <c r="AI484" s="953">
        <v>131412.50936363637</v>
      </c>
      <c r="AJ484" s="951">
        <v>0.25771277634549478</v>
      </c>
      <c r="AK484" s="975"/>
      <c r="AL484" s="953">
        <v>112297.43586545455</v>
      </c>
      <c r="AM484" s="951">
        <v>0.33593980794049233</v>
      </c>
      <c r="AN484" s="975"/>
      <c r="AO484" s="953">
        <v>93980.030741818191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227701.84</v>
      </c>
      <c r="F485" s="976"/>
      <c r="G485" s="977"/>
      <c r="H485" s="978">
        <v>18975.153333333332</v>
      </c>
      <c r="I485" s="976"/>
      <c r="J485" s="977"/>
      <c r="K485" s="978">
        <v>18975.153333333332</v>
      </c>
      <c r="L485" s="976"/>
      <c r="M485" s="977"/>
      <c r="N485" s="978">
        <v>18975.153333333332</v>
      </c>
      <c r="O485" s="976"/>
      <c r="P485" s="977"/>
      <c r="Q485" s="978">
        <v>18975.153333333332</v>
      </c>
      <c r="R485" s="976"/>
      <c r="S485" s="977"/>
      <c r="T485" s="978">
        <v>18975.153333333332</v>
      </c>
      <c r="U485" s="976"/>
      <c r="V485" s="977"/>
      <c r="W485" s="978">
        <v>18975.153333333332</v>
      </c>
      <c r="X485" s="976"/>
      <c r="Y485" s="977"/>
      <c r="Z485" s="978">
        <v>18975.153333333332</v>
      </c>
      <c r="AA485" s="976"/>
      <c r="AB485" s="977"/>
      <c r="AC485" s="978">
        <v>18975.153333333332</v>
      </c>
      <c r="AD485" s="976"/>
      <c r="AE485" s="977"/>
      <c r="AF485" s="978">
        <v>18975.153333333332</v>
      </c>
      <c r="AG485" s="976"/>
      <c r="AH485" s="977"/>
      <c r="AI485" s="978">
        <v>18975.153333333332</v>
      </c>
      <c r="AJ485" s="976"/>
      <c r="AK485" s="977"/>
      <c r="AL485" s="978">
        <v>18975.153333333332</v>
      </c>
      <c r="AM485" s="976"/>
      <c r="AN485" s="977"/>
      <c r="AO485" s="978">
        <v>18975.153333333332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1.5996719649017058E-2</v>
      </c>
      <c r="E486" s="981">
        <v>761311.5285463084</v>
      </c>
      <c r="F486" s="979" t="s">
        <v>247</v>
      </c>
      <c r="G486" s="980">
        <v>-3.0413921068396237E-2</v>
      </c>
      <c r="H486" s="981">
        <v>-81028.11450472135</v>
      </c>
      <c r="I486" s="979" t="s">
        <v>247</v>
      </c>
      <c r="J486" s="980">
        <v>-2.7652218353234025E-2</v>
      </c>
      <c r="K486" s="981">
        <v>-71675.425098112843</v>
      </c>
      <c r="L486" s="979" t="s">
        <v>247</v>
      </c>
      <c r="M486" s="980">
        <v>1.4356989125135481E-2</v>
      </c>
      <c r="N486" s="981">
        <v>59672.991301018104</v>
      </c>
      <c r="O486" s="979" t="s">
        <v>247</v>
      </c>
      <c r="P486" s="980">
        <v>3.0503240779155998E-2</v>
      </c>
      <c r="Q486" s="981">
        <v>167753.32434026626</v>
      </c>
      <c r="R486" s="979" t="s">
        <v>247</v>
      </c>
      <c r="S486" s="980">
        <v>4.3071754758959233E-2</v>
      </c>
      <c r="T486" s="981">
        <v>245489.65307618538</v>
      </c>
      <c r="U486" s="979" t="s">
        <v>247</v>
      </c>
      <c r="V486" s="980">
        <v>1.9089000437281182E-2</v>
      </c>
      <c r="W486" s="981">
        <v>76102.60459146052</v>
      </c>
      <c r="X486" s="979" t="s">
        <v>247</v>
      </c>
      <c r="Y486" s="980">
        <v>7.9019649041827001E-3</v>
      </c>
      <c r="Z486" s="981">
        <v>28602.798972803066</v>
      </c>
      <c r="AA486" s="979" t="s">
        <v>247</v>
      </c>
      <c r="AB486" s="980">
        <v>1.5710114633273979E-2</v>
      </c>
      <c r="AC486" s="981">
        <v>66493.182747451036</v>
      </c>
      <c r="AD486" s="979" t="s">
        <v>247</v>
      </c>
      <c r="AE486" s="980">
        <v>2.0943642925521765E-2</v>
      </c>
      <c r="AF486" s="981">
        <v>88062.873567612958</v>
      </c>
      <c r="AG486" s="979" t="s">
        <v>247</v>
      </c>
      <c r="AH486" s="980">
        <v>2.4198288999593302E-2</v>
      </c>
      <c r="AI486" s="981">
        <v>101253.57451465016</v>
      </c>
      <c r="AJ486" s="979" t="s">
        <v>247</v>
      </c>
      <c r="AK486" s="980">
        <v>3.2735938838161012E-2</v>
      </c>
      <c r="AL486" s="981">
        <v>126571.41483140428</v>
      </c>
      <c r="AM486" s="979" t="s">
        <v>247</v>
      </c>
      <c r="AN486" s="980">
        <v>-1.5936778813370103E-2</v>
      </c>
      <c r="AO486" s="981">
        <v>-45987.349793708941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2938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1.5996719649017058E-2</v>
      </c>
      <c r="E492" s="985">
        <v>761311.5285463084</v>
      </c>
      <c r="F492" s="983" t="s">
        <v>247</v>
      </c>
      <c r="G492" s="984">
        <v>-3.0413921068396237E-2</v>
      </c>
      <c r="H492" s="985">
        <v>-81028.11450472135</v>
      </c>
      <c r="I492" s="983" t="s">
        <v>247</v>
      </c>
      <c r="J492" s="984">
        <v>-2.7652218353234025E-2</v>
      </c>
      <c r="K492" s="985">
        <v>-71675.425098112843</v>
      </c>
      <c r="L492" s="983" t="s">
        <v>247</v>
      </c>
      <c r="M492" s="984">
        <v>1.4356989125135481E-2</v>
      </c>
      <c r="N492" s="985">
        <v>59672.991301018104</v>
      </c>
      <c r="O492" s="983" t="s">
        <v>247</v>
      </c>
      <c r="P492" s="984">
        <v>3.0503240779155998E-2</v>
      </c>
      <c r="Q492" s="985">
        <v>167753.32434026626</v>
      </c>
      <c r="R492" s="983" t="s">
        <v>247</v>
      </c>
      <c r="S492" s="984">
        <v>4.3071754758959233E-2</v>
      </c>
      <c r="T492" s="985">
        <v>245489.65307618538</v>
      </c>
      <c r="U492" s="983" t="s">
        <v>247</v>
      </c>
      <c r="V492" s="984">
        <v>1.9089000437281182E-2</v>
      </c>
      <c r="W492" s="985">
        <v>76102.60459146052</v>
      </c>
      <c r="X492" s="983" t="s">
        <v>247</v>
      </c>
      <c r="Y492" s="984">
        <v>7.9019649041827001E-3</v>
      </c>
      <c r="Z492" s="985">
        <v>28602.798972803066</v>
      </c>
      <c r="AA492" s="983" t="s">
        <v>247</v>
      </c>
      <c r="AB492" s="984">
        <v>1.5710114633273979E-2</v>
      </c>
      <c r="AC492" s="985">
        <v>66493.182747451036</v>
      </c>
      <c r="AD492" s="983" t="s">
        <v>247</v>
      </c>
      <c r="AE492" s="984">
        <v>2.0943642925521765E-2</v>
      </c>
      <c r="AF492" s="985">
        <v>88062.873567612958</v>
      </c>
      <c r="AG492" s="983" t="s">
        <v>247</v>
      </c>
      <c r="AH492" s="984">
        <v>2.4198288999593302E-2</v>
      </c>
      <c r="AI492" s="985">
        <v>101253.57451465016</v>
      </c>
      <c r="AJ492" s="983" t="s">
        <v>247</v>
      </c>
      <c r="AK492" s="984">
        <v>3.2735938838161012E-2</v>
      </c>
      <c r="AL492" s="985">
        <v>126571.41483140428</v>
      </c>
      <c r="AM492" s="983" t="s">
        <v>247</v>
      </c>
      <c r="AN492" s="984">
        <v>-1.5936778813370103E-2</v>
      </c>
      <c r="AO492" s="985">
        <v>-45987.349793708941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231600</v>
      </c>
      <c r="F494" s="947"/>
      <c r="G494" s="948"/>
      <c r="H494" s="954">
        <v>19300</v>
      </c>
      <c r="I494" s="947"/>
      <c r="J494" s="948"/>
      <c r="K494" s="954">
        <v>19300</v>
      </c>
      <c r="L494" s="947"/>
      <c r="M494" s="948"/>
      <c r="N494" s="954">
        <v>19300</v>
      </c>
      <c r="O494" s="947"/>
      <c r="P494" s="948"/>
      <c r="Q494" s="954">
        <v>19300</v>
      </c>
      <c r="R494" s="947"/>
      <c r="S494" s="948"/>
      <c r="T494" s="954">
        <v>19300</v>
      </c>
      <c r="U494" s="947"/>
      <c r="V494" s="948"/>
      <c r="W494" s="954">
        <v>19300</v>
      </c>
      <c r="X494" s="947"/>
      <c r="Y494" s="948"/>
      <c r="Z494" s="954">
        <v>19300</v>
      </c>
      <c r="AA494" s="947"/>
      <c r="AB494" s="948"/>
      <c r="AC494" s="954">
        <v>19300</v>
      </c>
      <c r="AD494" s="947"/>
      <c r="AE494" s="948"/>
      <c r="AF494" s="954">
        <v>19300</v>
      </c>
      <c r="AG494" s="947"/>
      <c r="AH494" s="948"/>
      <c r="AI494" s="954">
        <v>19300</v>
      </c>
      <c r="AJ494" s="947"/>
      <c r="AK494" s="948"/>
      <c r="AL494" s="954">
        <v>19300</v>
      </c>
      <c r="AM494" s="947"/>
      <c r="AN494" s="948"/>
      <c r="AO494" s="954">
        <v>19300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2940</v>
      </c>
      <c r="C499" s="991"/>
      <c r="D499" s="871"/>
      <c r="E499" s="946">
        <v>-31080</v>
      </c>
      <c r="F499" s="991"/>
      <c r="G499" s="871"/>
      <c r="H499" s="946">
        <v>-2632.4590163934427</v>
      </c>
      <c r="I499" s="991"/>
      <c r="J499" s="871"/>
      <c r="K499" s="946">
        <v>-2462.622950819672</v>
      </c>
      <c r="L499" s="991"/>
      <c r="M499" s="871"/>
      <c r="N499" s="946">
        <v>-2632.4590163934427</v>
      </c>
      <c r="O499" s="991"/>
      <c r="P499" s="871"/>
      <c r="Q499" s="946">
        <v>-2547.5409836065573</v>
      </c>
      <c r="R499" s="991"/>
      <c r="S499" s="871"/>
      <c r="T499" s="946">
        <v>-2632.4590163934427</v>
      </c>
      <c r="U499" s="991"/>
      <c r="V499" s="871"/>
      <c r="W499" s="946">
        <v>-2547.5409836065573</v>
      </c>
      <c r="X499" s="991"/>
      <c r="Y499" s="871"/>
      <c r="Z499" s="946">
        <v>-2632.4590163934427</v>
      </c>
      <c r="AA499" s="991"/>
      <c r="AB499" s="871"/>
      <c r="AC499" s="946">
        <v>-2632.4590163934427</v>
      </c>
      <c r="AD499" s="991"/>
      <c r="AE499" s="871"/>
      <c r="AF499" s="946">
        <v>-2547.5409836065573</v>
      </c>
      <c r="AG499" s="991"/>
      <c r="AH499" s="871"/>
      <c r="AI499" s="946">
        <v>-2632.4590163934427</v>
      </c>
      <c r="AJ499" s="991"/>
      <c r="AK499" s="871"/>
      <c r="AL499" s="946">
        <v>-2547.5409836065573</v>
      </c>
      <c r="AM499" s="991"/>
      <c r="AN499" s="871"/>
      <c r="AO499" s="946">
        <v>-2632.4590163934427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1.1783382396465801E-2</v>
      </c>
      <c r="E501" s="994">
        <v>560791.5285463084</v>
      </c>
      <c r="F501" s="992" t="s">
        <v>247</v>
      </c>
      <c r="G501" s="993">
        <v>-3.6670086338663407E-2</v>
      </c>
      <c r="H501" s="994">
        <v>-97695.655488327902</v>
      </c>
      <c r="I501" s="992" t="s">
        <v>247</v>
      </c>
      <c r="J501" s="993">
        <v>-3.414804068037533E-2</v>
      </c>
      <c r="K501" s="994">
        <v>-88512.802147293172</v>
      </c>
      <c r="L501" s="992" t="s">
        <v>247</v>
      </c>
      <c r="M501" s="993">
        <v>1.0346871659475492E-2</v>
      </c>
      <c r="N501" s="994">
        <v>43005.450317411545</v>
      </c>
      <c r="O501" s="992" t="s">
        <v>247</v>
      </c>
      <c r="P501" s="993">
        <v>2.7457075863917213E-2</v>
      </c>
      <c r="Q501" s="994">
        <v>151000.86532387283</v>
      </c>
      <c r="R501" s="992" t="s">
        <v>247</v>
      </c>
      <c r="S501" s="993">
        <v>4.0147394287204395E-2</v>
      </c>
      <c r="T501" s="994">
        <v>228822.11209257881</v>
      </c>
      <c r="U501" s="992" t="s">
        <v>247</v>
      </c>
      <c r="V501" s="993">
        <v>1.4886940610207237E-2</v>
      </c>
      <c r="W501" s="994">
        <v>59350.145575067079</v>
      </c>
      <c r="X501" s="992" t="s">
        <v>247</v>
      </c>
      <c r="Y501" s="993">
        <v>3.2972993252399331E-3</v>
      </c>
      <c r="Z501" s="994">
        <v>11935.257989196509</v>
      </c>
      <c r="AA501" s="992" t="s">
        <v>247</v>
      </c>
      <c r="AB501" s="993">
        <v>1.177213229150844E-2</v>
      </c>
      <c r="AC501" s="994">
        <v>49825.641763844476</v>
      </c>
      <c r="AD501" s="992" t="s">
        <v>247</v>
      </c>
      <c r="AE501" s="993">
        <v>1.695947223531143E-2</v>
      </c>
      <c r="AF501" s="994">
        <v>71310.41455121951</v>
      </c>
      <c r="AG501" s="992" t="s">
        <v>247</v>
      </c>
      <c r="AH501" s="993">
        <v>2.0214963220062224E-2</v>
      </c>
      <c r="AI501" s="994">
        <v>84586.033531043606</v>
      </c>
      <c r="AJ501" s="992" t="s">
        <v>247</v>
      </c>
      <c r="AK501" s="993">
        <v>2.8403147943155651E-2</v>
      </c>
      <c r="AL501" s="994">
        <v>109818.95581501084</v>
      </c>
      <c r="AM501" s="992" t="s">
        <v>247</v>
      </c>
      <c r="AN501" s="993">
        <v>-2.1712865393920491E-2</v>
      </c>
      <c r="AO501" s="994">
        <v>-62654.890777315501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79" activePane="bottomRight" state="frozen"/>
      <selection sqref="A1:XFD1048576"/>
      <selection pane="topRight" sqref="A1:XFD1048576"/>
      <selection pane="bottomLeft" sqref="A1:XFD1048576"/>
      <selection pane="bottomRight" activeCell="N502" sqref="N502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20" t="str">
        <f>"Budget 2023 Mensuel"&amp;" "&amp;Parametres!$B$1</f>
        <v>Budget 2023 Mensuel BMW Sherbrooke</v>
      </c>
      <c r="C1" s="1220"/>
      <c r="D1" s="1220"/>
      <c r="E1" s="1220"/>
      <c r="F1" s="1220"/>
      <c r="G1" s="1220"/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20"/>
      <c r="W1" s="1220"/>
      <c r="X1" s="1220"/>
      <c r="Y1" s="1220"/>
      <c r="Z1" s="1220"/>
      <c r="AA1" s="1220"/>
      <c r="AB1" s="1220"/>
      <c r="AC1" s="1220"/>
      <c r="AD1" s="1220"/>
      <c r="AE1" s="1220"/>
      <c r="AF1" s="1220"/>
      <c r="AG1" s="1220"/>
      <c r="AH1" s="1220"/>
      <c r="AI1" s="1220"/>
      <c r="AJ1" s="1220"/>
      <c r="AK1" s="1220"/>
      <c r="AL1" s="1220"/>
      <c r="AM1" s="1220"/>
      <c r="AN1" s="1220"/>
      <c r="AO1" s="1220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>X</v>
      </c>
      <c r="P2" s="545" t="str">
        <f>+IF(Parametres!$B$3=O$6,"O","")</f>
        <v>O</v>
      </c>
      <c r="Q2" s="545" t="str">
        <f>+IF(Parametres!$B$3=O$6,"U","")</f>
        <v>U</v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2939</v>
      </c>
      <c r="C4" s="1221" t="s">
        <v>75</v>
      </c>
      <c r="D4" s="1221"/>
      <c r="E4" s="1221"/>
      <c r="F4" s="1221"/>
      <c r="G4" s="1221"/>
      <c r="H4" s="1221"/>
      <c r="I4" s="1221"/>
      <c r="J4" s="1221"/>
      <c r="K4" s="1221"/>
      <c r="L4" s="1221"/>
      <c r="M4" s="1221"/>
      <c r="N4" s="1221"/>
      <c r="O4" s="1221"/>
      <c r="P4" s="1221"/>
      <c r="Q4" s="1221"/>
      <c r="R4" s="1221"/>
      <c r="S4" s="1221"/>
      <c r="T4" s="1221"/>
      <c r="U4" s="1221"/>
      <c r="V4" s="1221"/>
      <c r="W4" s="1221"/>
      <c r="X4" s="1221"/>
      <c r="Y4" s="1221"/>
      <c r="Z4" s="1221"/>
      <c r="AA4" s="1221"/>
      <c r="AB4" s="1221"/>
      <c r="AC4" s="1221"/>
      <c r="AD4" s="1221"/>
      <c r="AE4" s="1221"/>
      <c r="AF4" s="1221"/>
      <c r="AG4" s="1221"/>
      <c r="AH4" s="1221"/>
      <c r="AI4" s="1221"/>
      <c r="AJ4" s="1221"/>
      <c r="AK4" s="1221"/>
      <c r="AL4" s="1221"/>
      <c r="AM4" s="1221"/>
      <c r="AN4" s="1221"/>
      <c r="AO4" s="1221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25487207.219999958</v>
      </c>
      <c r="F8" s="801"/>
      <c r="G8" s="802"/>
      <c r="H8" s="803">
        <v>926822.67</v>
      </c>
      <c r="I8" s="801"/>
      <c r="J8" s="802"/>
      <c r="K8" s="803">
        <v>745667.64</v>
      </c>
      <c r="L8" s="801"/>
      <c r="M8" s="802"/>
      <c r="N8" s="803">
        <v>1972302.30999999</v>
      </c>
      <c r="O8" s="801"/>
      <c r="P8" s="802"/>
      <c r="Q8" s="803">
        <v>2814437.6399999899</v>
      </c>
      <c r="R8" s="801"/>
      <c r="S8" s="802"/>
      <c r="T8" s="803">
        <v>3270847.44</v>
      </c>
      <c r="U8" s="801"/>
      <c r="V8" s="802"/>
      <c r="W8" s="803">
        <v>1710445.63</v>
      </c>
      <c r="X8" s="801"/>
      <c r="Y8" s="802"/>
      <c r="Z8" s="803">
        <v>1425137.36</v>
      </c>
      <c r="AA8" s="801"/>
      <c r="AB8" s="802"/>
      <c r="AC8" s="803">
        <v>1468150.11</v>
      </c>
      <c r="AD8" s="801"/>
      <c r="AE8" s="802"/>
      <c r="AF8" s="803">
        <v>3148461.45</v>
      </c>
      <c r="AG8" s="801"/>
      <c r="AH8" s="802"/>
      <c r="AI8" s="803">
        <v>2092480.4099999899</v>
      </c>
      <c r="AJ8" s="801"/>
      <c r="AK8" s="802"/>
      <c r="AL8" s="803">
        <v>3424220.96</v>
      </c>
      <c r="AM8" s="801"/>
      <c r="AN8" s="802"/>
      <c r="AO8" s="803">
        <v>2488233.5999999898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87</v>
      </c>
      <c r="D9" s="805">
        <v>5158.778045977012</v>
      </c>
      <c r="E9" s="806">
        <v>448813.69</v>
      </c>
      <c r="F9" s="804">
        <v>2</v>
      </c>
      <c r="G9" s="805">
        <v>4853.5649999999996</v>
      </c>
      <c r="H9" s="806">
        <v>9707.1299999999992</v>
      </c>
      <c r="I9" s="804">
        <v>5</v>
      </c>
      <c r="J9" s="805">
        <v>4773.3019999999797</v>
      </c>
      <c r="K9" s="806">
        <v>23866.5099999999</v>
      </c>
      <c r="L9" s="804">
        <v>4</v>
      </c>
      <c r="M9" s="805">
        <v>6596.2150000000001</v>
      </c>
      <c r="N9" s="806">
        <v>26384.86</v>
      </c>
      <c r="O9" s="804">
        <v>13</v>
      </c>
      <c r="P9" s="805">
        <v>5336.7323076923158</v>
      </c>
      <c r="Q9" s="806">
        <v>69377.520000000106</v>
      </c>
      <c r="R9" s="804">
        <v>12</v>
      </c>
      <c r="S9" s="805">
        <v>4900.4450000000079</v>
      </c>
      <c r="T9" s="806">
        <v>58805.340000000098</v>
      </c>
      <c r="U9" s="804">
        <v>7</v>
      </c>
      <c r="V9" s="805">
        <v>4333.9528571428573</v>
      </c>
      <c r="W9" s="806">
        <v>30337.67</v>
      </c>
      <c r="X9" s="804">
        <v>0</v>
      </c>
      <c r="Y9" s="805">
        <v>0</v>
      </c>
      <c r="Z9" s="806">
        <v>-205.85</v>
      </c>
      <c r="AA9" s="804">
        <v>8</v>
      </c>
      <c r="AB9" s="805">
        <v>2390.53125</v>
      </c>
      <c r="AC9" s="806">
        <v>19124.25</v>
      </c>
      <c r="AD9" s="804">
        <v>5</v>
      </c>
      <c r="AE9" s="805">
        <v>5369.0599999999995</v>
      </c>
      <c r="AF9" s="806">
        <v>26845.3</v>
      </c>
      <c r="AG9" s="804">
        <v>10</v>
      </c>
      <c r="AH9" s="805">
        <v>5653.2790000000005</v>
      </c>
      <c r="AI9" s="806">
        <v>56532.79</v>
      </c>
      <c r="AJ9" s="804">
        <v>9</v>
      </c>
      <c r="AK9" s="805">
        <v>5377.2044444444437</v>
      </c>
      <c r="AL9" s="806">
        <v>48394.84</v>
      </c>
      <c r="AM9" s="804">
        <v>12</v>
      </c>
      <c r="AN9" s="805">
        <v>6636.944166666658</v>
      </c>
      <c r="AO9" s="806">
        <v>79643.3299999999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142</v>
      </c>
      <c r="D10" s="805">
        <v>4574.8696478873198</v>
      </c>
      <c r="E10" s="806">
        <v>649631.48999999941</v>
      </c>
      <c r="F10" s="804">
        <v>4</v>
      </c>
      <c r="G10" s="805">
        <v>6340.3849999999748</v>
      </c>
      <c r="H10" s="806">
        <v>25361.539999999899</v>
      </c>
      <c r="I10" s="804">
        <v>1</v>
      </c>
      <c r="J10" s="805">
        <v>7866.05</v>
      </c>
      <c r="K10" s="806">
        <v>7866.05</v>
      </c>
      <c r="L10" s="804">
        <v>12</v>
      </c>
      <c r="M10" s="805">
        <v>4793.2274999999836</v>
      </c>
      <c r="N10" s="806">
        <v>57518.729999999799</v>
      </c>
      <c r="O10" s="804">
        <v>12</v>
      </c>
      <c r="P10" s="805">
        <v>4634.92</v>
      </c>
      <c r="Q10" s="806">
        <v>55619.040000000001</v>
      </c>
      <c r="R10" s="804">
        <v>22</v>
      </c>
      <c r="S10" s="805">
        <v>4523.4468181818138</v>
      </c>
      <c r="T10" s="806">
        <v>99515.8299999999</v>
      </c>
      <c r="U10" s="804">
        <v>10</v>
      </c>
      <c r="V10" s="805">
        <v>4305.3519999999899</v>
      </c>
      <c r="W10" s="806">
        <v>43053.519999999902</v>
      </c>
      <c r="X10" s="804">
        <v>13</v>
      </c>
      <c r="Y10" s="805">
        <v>4541.1207692307544</v>
      </c>
      <c r="Z10" s="806">
        <v>59034.569999999803</v>
      </c>
      <c r="AA10" s="804">
        <v>4</v>
      </c>
      <c r="AB10" s="805">
        <v>4085.979999999975</v>
      </c>
      <c r="AC10" s="806">
        <v>16343.9199999999</v>
      </c>
      <c r="AD10" s="804">
        <v>17</v>
      </c>
      <c r="AE10" s="805">
        <v>5159.5535294117526</v>
      </c>
      <c r="AF10" s="806">
        <v>87712.4099999998</v>
      </c>
      <c r="AG10" s="804">
        <v>13</v>
      </c>
      <c r="AH10" s="805">
        <v>4282.3400000000074</v>
      </c>
      <c r="AI10" s="806">
        <v>55670.4200000001</v>
      </c>
      <c r="AJ10" s="804">
        <v>23</v>
      </c>
      <c r="AK10" s="805">
        <v>3739.0256521739084</v>
      </c>
      <c r="AL10" s="806">
        <v>85997.589999999895</v>
      </c>
      <c r="AM10" s="804">
        <v>11</v>
      </c>
      <c r="AN10" s="805">
        <v>5085.2609090909364</v>
      </c>
      <c r="AO10" s="806">
        <v>55937.870000000301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229</v>
      </c>
      <c r="D16" s="810">
        <v>4796.7038427947573</v>
      </c>
      <c r="E16" s="811">
        <v>1098445.1799999995</v>
      </c>
      <c r="F16" s="809">
        <v>6</v>
      </c>
      <c r="G16" s="810">
        <v>5844.7783333333164</v>
      </c>
      <c r="H16" s="811">
        <v>35068.669999999896</v>
      </c>
      <c r="I16" s="809">
        <v>6</v>
      </c>
      <c r="J16" s="810">
        <v>5288.7599999999829</v>
      </c>
      <c r="K16" s="811">
        <v>31732.559999999899</v>
      </c>
      <c r="L16" s="809">
        <v>16</v>
      </c>
      <c r="M16" s="810">
        <v>5243.974374999987</v>
      </c>
      <c r="N16" s="811">
        <v>83903.589999999793</v>
      </c>
      <c r="O16" s="809">
        <v>25</v>
      </c>
      <c r="P16" s="810">
        <v>4999.8624000000045</v>
      </c>
      <c r="Q16" s="811">
        <v>124996.56000000011</v>
      </c>
      <c r="R16" s="809">
        <v>34</v>
      </c>
      <c r="S16" s="810">
        <v>4656.5049999999992</v>
      </c>
      <c r="T16" s="811">
        <v>158321.16999999998</v>
      </c>
      <c r="U16" s="809">
        <v>17</v>
      </c>
      <c r="V16" s="810">
        <v>4317.128823529406</v>
      </c>
      <c r="W16" s="811">
        <v>73391.1899999999</v>
      </c>
      <c r="X16" s="809">
        <v>13</v>
      </c>
      <c r="Y16" s="810">
        <v>4525.2861538461384</v>
      </c>
      <c r="Z16" s="811">
        <v>58828.719999999805</v>
      </c>
      <c r="AA16" s="809">
        <v>12</v>
      </c>
      <c r="AB16" s="810">
        <v>2955.6808333333247</v>
      </c>
      <c r="AC16" s="811">
        <v>35468.169999999896</v>
      </c>
      <c r="AD16" s="809">
        <v>22</v>
      </c>
      <c r="AE16" s="810">
        <v>5207.1686363636272</v>
      </c>
      <c r="AF16" s="811">
        <v>114557.7099999998</v>
      </c>
      <c r="AG16" s="809">
        <v>23</v>
      </c>
      <c r="AH16" s="810">
        <v>4878.400434782613</v>
      </c>
      <c r="AI16" s="811">
        <v>112203.21000000011</v>
      </c>
      <c r="AJ16" s="809">
        <v>32</v>
      </c>
      <c r="AK16" s="810">
        <v>4199.7634374999961</v>
      </c>
      <c r="AL16" s="811">
        <v>134392.42999999988</v>
      </c>
      <c r="AM16" s="809">
        <v>23</v>
      </c>
      <c r="AN16" s="810">
        <v>5894.8347826087038</v>
      </c>
      <c r="AO16" s="811">
        <v>135581.20000000019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36</v>
      </c>
      <c r="D18" s="815">
        <v>1369.8802777777792</v>
      </c>
      <c r="E18" s="816">
        <v>49315.690000000053</v>
      </c>
      <c r="F18" s="814">
        <v>2</v>
      </c>
      <c r="G18" s="815">
        <v>2993.7049999999899</v>
      </c>
      <c r="H18" s="816">
        <v>5987.4099999999798</v>
      </c>
      <c r="I18" s="814">
        <v>3</v>
      </c>
      <c r="J18" s="815">
        <v>1500</v>
      </c>
      <c r="K18" s="816">
        <v>4500</v>
      </c>
      <c r="L18" s="814">
        <v>5</v>
      </c>
      <c r="M18" s="815">
        <v>3624.56</v>
      </c>
      <c r="N18" s="816">
        <v>18122.8</v>
      </c>
      <c r="O18" s="814">
        <v>5</v>
      </c>
      <c r="P18" s="815">
        <v>3098.8779999999997</v>
      </c>
      <c r="Q18" s="816">
        <v>15494.39</v>
      </c>
      <c r="R18" s="814">
        <v>5</v>
      </c>
      <c r="S18" s="815">
        <v>588.60600000000409</v>
      </c>
      <c r="T18" s="816">
        <v>2943.0300000000202</v>
      </c>
      <c r="U18" s="814">
        <v>1</v>
      </c>
      <c r="V18" s="815">
        <v>1250</v>
      </c>
      <c r="W18" s="816">
        <v>1250</v>
      </c>
      <c r="X18" s="814">
        <v>1</v>
      </c>
      <c r="Y18" s="815">
        <v>10720.5</v>
      </c>
      <c r="Z18" s="816">
        <v>10720.5</v>
      </c>
      <c r="AA18" s="814">
        <v>2</v>
      </c>
      <c r="AB18" s="815">
        <v>1513.885000000005</v>
      </c>
      <c r="AC18" s="816">
        <v>3027.77000000001</v>
      </c>
      <c r="AD18" s="814">
        <v>7</v>
      </c>
      <c r="AE18" s="815">
        <v>403.89428571427862</v>
      </c>
      <c r="AF18" s="816">
        <v>2827.2599999999502</v>
      </c>
      <c r="AG18" s="814">
        <v>0</v>
      </c>
      <c r="AH18" s="815">
        <v>0</v>
      </c>
      <c r="AI18" s="816">
        <v>0</v>
      </c>
      <c r="AJ18" s="814">
        <v>3</v>
      </c>
      <c r="AK18" s="815">
        <v>-5578.1033333332998</v>
      </c>
      <c r="AL18" s="816">
        <v>-16734.309999999899</v>
      </c>
      <c r="AM18" s="814">
        <v>2</v>
      </c>
      <c r="AN18" s="815">
        <v>588.41999999999496</v>
      </c>
      <c r="AO18" s="816">
        <v>1176.8399999999899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5</v>
      </c>
      <c r="D20" s="805">
        <v>2686.7860000000019</v>
      </c>
      <c r="E20" s="806">
        <v>13433.930000000009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0</v>
      </c>
      <c r="M20" s="805">
        <v>0</v>
      </c>
      <c r="N20" s="806">
        <v>0</v>
      </c>
      <c r="O20" s="804">
        <v>0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1</v>
      </c>
      <c r="AB20" s="805">
        <v>12964.17</v>
      </c>
      <c r="AC20" s="806">
        <v>12964.17</v>
      </c>
      <c r="AD20" s="804">
        <v>0</v>
      </c>
      <c r="AE20" s="805">
        <v>0</v>
      </c>
      <c r="AF20" s="806">
        <v>0</v>
      </c>
      <c r="AG20" s="804">
        <v>1</v>
      </c>
      <c r="AH20" s="805">
        <v>416.180000000007</v>
      </c>
      <c r="AI20" s="806">
        <v>416.180000000007</v>
      </c>
      <c r="AJ20" s="804">
        <v>2</v>
      </c>
      <c r="AK20" s="805">
        <v>26.790000000000848</v>
      </c>
      <c r="AL20" s="806">
        <v>53.580000000001696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45746.459999999934</v>
      </c>
      <c r="F22" s="807"/>
      <c r="G22" s="805"/>
      <c r="H22" s="806">
        <v>3995.96</v>
      </c>
      <c r="I22" s="807"/>
      <c r="J22" s="805"/>
      <c r="K22" s="806">
        <v>967.38999999999896</v>
      </c>
      <c r="L22" s="807"/>
      <c r="M22" s="805"/>
      <c r="N22" s="806">
        <v>2976.4199999999901</v>
      </c>
      <c r="O22" s="807"/>
      <c r="P22" s="805"/>
      <c r="Q22" s="806">
        <v>3495.3899999999899</v>
      </c>
      <c r="R22" s="807"/>
      <c r="S22" s="805"/>
      <c r="T22" s="806">
        <v>8901.1099999999806</v>
      </c>
      <c r="U22" s="807"/>
      <c r="V22" s="805"/>
      <c r="W22" s="806">
        <v>5993.8999999999896</v>
      </c>
      <c r="X22" s="807"/>
      <c r="Y22" s="805"/>
      <c r="Z22" s="806">
        <v>5547.0500000000102</v>
      </c>
      <c r="AA22" s="807"/>
      <c r="AB22" s="805"/>
      <c r="AC22" s="806">
        <v>5620.9499999999798</v>
      </c>
      <c r="AD22" s="807"/>
      <c r="AE22" s="805"/>
      <c r="AF22" s="806">
        <v>2371.4</v>
      </c>
      <c r="AG22" s="807"/>
      <c r="AH22" s="805"/>
      <c r="AI22" s="806">
        <v>3371.01</v>
      </c>
      <c r="AJ22" s="807"/>
      <c r="AK22" s="805"/>
      <c r="AL22" s="806">
        <v>999</v>
      </c>
      <c r="AM22" s="807"/>
      <c r="AN22" s="805"/>
      <c r="AO22" s="806">
        <v>1506.8799999999901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11.362226415094339</v>
      </c>
      <c r="E24" s="806">
        <v>3010.99</v>
      </c>
      <c r="F24" s="804"/>
      <c r="G24" s="805">
        <v>0</v>
      </c>
      <c r="H24" s="806">
        <v>0</v>
      </c>
      <c r="I24" s="804"/>
      <c r="J24" s="805">
        <v>0</v>
      </c>
      <c r="K24" s="806">
        <v>0</v>
      </c>
      <c r="L24" s="804"/>
      <c r="M24" s="805">
        <v>135.65190476190477</v>
      </c>
      <c r="N24" s="806">
        <v>2848.69</v>
      </c>
      <c r="O24" s="804"/>
      <c r="P24" s="805">
        <v>0</v>
      </c>
      <c r="Q24" s="806">
        <v>0</v>
      </c>
      <c r="R24" s="804"/>
      <c r="S24" s="805">
        <v>-31.520769230769229</v>
      </c>
      <c r="T24" s="806">
        <v>-1229.31</v>
      </c>
      <c r="U24" s="804"/>
      <c r="V24" s="805">
        <v>0</v>
      </c>
      <c r="W24" s="806">
        <v>0</v>
      </c>
      <c r="X24" s="804"/>
      <c r="Y24" s="805">
        <v>0</v>
      </c>
      <c r="Z24" s="806">
        <v>0</v>
      </c>
      <c r="AA24" s="804"/>
      <c r="AB24" s="805">
        <v>0</v>
      </c>
      <c r="AC24" s="806">
        <v>0</v>
      </c>
      <c r="AD24" s="804"/>
      <c r="AE24" s="805">
        <v>5.1724137931034484</v>
      </c>
      <c r="AF24" s="806">
        <v>150</v>
      </c>
      <c r="AG24" s="804"/>
      <c r="AH24" s="805">
        <v>0</v>
      </c>
      <c r="AI24" s="806">
        <v>0</v>
      </c>
      <c r="AJ24" s="804"/>
      <c r="AK24" s="805">
        <v>0</v>
      </c>
      <c r="AL24" s="806">
        <v>0</v>
      </c>
      <c r="AM24" s="804"/>
      <c r="AN24" s="805">
        <v>49.664399999999993</v>
      </c>
      <c r="AO24" s="806">
        <v>1241.6099999999999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1161.4258490566026</v>
      </c>
      <c r="E25" s="806">
        <v>307777.84999999969</v>
      </c>
      <c r="F25" s="804"/>
      <c r="G25" s="805">
        <v>1221.5</v>
      </c>
      <c r="H25" s="806">
        <v>9772</v>
      </c>
      <c r="I25" s="804"/>
      <c r="J25" s="805">
        <v>1291.0111111111</v>
      </c>
      <c r="K25" s="806">
        <v>11619.0999999999</v>
      </c>
      <c r="L25" s="804"/>
      <c r="M25" s="805">
        <v>1102.7619047619048</v>
      </c>
      <c r="N25" s="806">
        <v>23158</v>
      </c>
      <c r="O25" s="804"/>
      <c r="P25" s="805">
        <v>1293.3413333333333</v>
      </c>
      <c r="Q25" s="806">
        <v>38800.239999999998</v>
      </c>
      <c r="R25" s="804"/>
      <c r="S25" s="805">
        <v>1158.7410256410258</v>
      </c>
      <c r="T25" s="806">
        <v>45190.9</v>
      </c>
      <c r="U25" s="804"/>
      <c r="V25" s="805">
        <v>1118.0944444444387</v>
      </c>
      <c r="W25" s="806">
        <v>20125.699999999899</v>
      </c>
      <c r="X25" s="804"/>
      <c r="Y25" s="805">
        <v>1085.999999999993</v>
      </c>
      <c r="Z25" s="806">
        <v>15203.9999999999</v>
      </c>
      <c r="AA25" s="804"/>
      <c r="AB25" s="805">
        <v>1140.7714285714285</v>
      </c>
      <c r="AC25" s="806">
        <v>15970.8</v>
      </c>
      <c r="AD25" s="804"/>
      <c r="AE25" s="805">
        <v>1040.6896551724137</v>
      </c>
      <c r="AF25" s="806">
        <v>30180</v>
      </c>
      <c r="AG25" s="804"/>
      <c r="AH25" s="805">
        <v>854.43913043478256</v>
      </c>
      <c r="AI25" s="806">
        <v>19652.099999999999</v>
      </c>
      <c r="AJ25" s="804"/>
      <c r="AK25" s="805">
        <v>1455.2968571428571</v>
      </c>
      <c r="AL25" s="806">
        <v>50935.39</v>
      </c>
      <c r="AM25" s="804"/>
      <c r="AN25" s="805">
        <v>1086.7847999999999</v>
      </c>
      <c r="AO25" s="806">
        <v>27169.62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470.32716981132035</v>
      </c>
      <c r="E26" s="806">
        <v>124636.6999999999</v>
      </c>
      <c r="F26" s="804"/>
      <c r="G26" s="805">
        <v>536.58624999999995</v>
      </c>
      <c r="H26" s="806">
        <v>4292.6899999999996</v>
      </c>
      <c r="I26" s="804"/>
      <c r="J26" s="805">
        <v>408.33333333333331</v>
      </c>
      <c r="K26" s="806">
        <v>3675</v>
      </c>
      <c r="L26" s="804"/>
      <c r="M26" s="805">
        <v>532.99523809523805</v>
      </c>
      <c r="N26" s="806">
        <v>11192.9</v>
      </c>
      <c r="O26" s="804"/>
      <c r="P26" s="805">
        <v>448.6346666666667</v>
      </c>
      <c r="Q26" s="806">
        <v>13459.04</v>
      </c>
      <c r="R26" s="804"/>
      <c r="S26" s="805">
        <v>440.92179487179487</v>
      </c>
      <c r="T26" s="806">
        <v>17195.95</v>
      </c>
      <c r="U26" s="804"/>
      <c r="V26" s="805">
        <v>536.78333333333273</v>
      </c>
      <c r="W26" s="806">
        <v>9662.0999999999894</v>
      </c>
      <c r="X26" s="804"/>
      <c r="Y26" s="805">
        <v>442.14285714285717</v>
      </c>
      <c r="Z26" s="806">
        <v>6190</v>
      </c>
      <c r="AA26" s="804"/>
      <c r="AB26" s="805">
        <v>419.92857142857144</v>
      </c>
      <c r="AC26" s="806">
        <v>5879</v>
      </c>
      <c r="AD26" s="804"/>
      <c r="AE26" s="805">
        <v>564.99620689655171</v>
      </c>
      <c r="AF26" s="806">
        <v>16384.89</v>
      </c>
      <c r="AG26" s="804"/>
      <c r="AH26" s="805">
        <v>416.13652173913039</v>
      </c>
      <c r="AI26" s="806">
        <v>9571.14</v>
      </c>
      <c r="AJ26" s="804"/>
      <c r="AK26" s="805">
        <v>446.45571428571429</v>
      </c>
      <c r="AL26" s="806">
        <v>15625.95</v>
      </c>
      <c r="AM26" s="804"/>
      <c r="AN26" s="805">
        <v>460.32159999999601</v>
      </c>
      <c r="AO26" s="806">
        <v>11508.039999999901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265</v>
      </c>
      <c r="D27" s="810">
        <v>1643.1152452830172</v>
      </c>
      <c r="E27" s="811">
        <v>435425.53999999957</v>
      </c>
      <c r="F27" s="809">
        <v>8</v>
      </c>
      <c r="G27" s="810">
        <v>1758.0862499999998</v>
      </c>
      <c r="H27" s="811">
        <v>14064.689999999999</v>
      </c>
      <c r="I27" s="809">
        <v>9</v>
      </c>
      <c r="J27" s="810">
        <v>1699.3444444444333</v>
      </c>
      <c r="K27" s="811">
        <v>15294.0999999999</v>
      </c>
      <c r="L27" s="809">
        <v>21</v>
      </c>
      <c r="M27" s="810">
        <v>1771.4090476190474</v>
      </c>
      <c r="N27" s="811">
        <v>37199.589999999997</v>
      </c>
      <c r="O27" s="809">
        <v>30</v>
      </c>
      <c r="P27" s="810">
        <v>1741.9759999999999</v>
      </c>
      <c r="Q27" s="811">
        <v>52259.28</v>
      </c>
      <c r="R27" s="809">
        <v>39</v>
      </c>
      <c r="S27" s="810">
        <v>1568.1420512820514</v>
      </c>
      <c r="T27" s="811">
        <v>61157.540000000008</v>
      </c>
      <c r="U27" s="809">
        <v>18</v>
      </c>
      <c r="V27" s="810">
        <v>1654.8777777777714</v>
      </c>
      <c r="W27" s="811">
        <v>29787.799999999886</v>
      </c>
      <c r="X27" s="809">
        <v>14</v>
      </c>
      <c r="Y27" s="810">
        <v>1528.1428571428498</v>
      </c>
      <c r="Z27" s="811">
        <v>21393.999999999898</v>
      </c>
      <c r="AA27" s="809">
        <v>14</v>
      </c>
      <c r="AB27" s="810">
        <v>1560.7</v>
      </c>
      <c r="AC27" s="811">
        <v>21849.8</v>
      </c>
      <c r="AD27" s="809">
        <v>29</v>
      </c>
      <c r="AE27" s="810">
        <v>1610.8582758620689</v>
      </c>
      <c r="AF27" s="811">
        <v>46714.89</v>
      </c>
      <c r="AG27" s="809">
        <v>23</v>
      </c>
      <c r="AH27" s="810">
        <v>1270.5756521739129</v>
      </c>
      <c r="AI27" s="811">
        <v>29223.239999999998</v>
      </c>
      <c r="AJ27" s="809">
        <v>35</v>
      </c>
      <c r="AK27" s="810">
        <v>1901.7525714285714</v>
      </c>
      <c r="AL27" s="811">
        <v>66561.34</v>
      </c>
      <c r="AM27" s="809">
        <v>25</v>
      </c>
      <c r="AN27" s="810">
        <v>1596.7707999999961</v>
      </c>
      <c r="AO27" s="811">
        <v>39919.269999999902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270</v>
      </c>
      <c r="D30" s="823">
        <v>6082.8399999999956</v>
      </c>
      <c r="E30" s="824">
        <v>1642366.7999999989</v>
      </c>
      <c r="F30" s="822">
        <v>9</v>
      </c>
      <c r="G30" s="823">
        <v>6568.5255555555423</v>
      </c>
      <c r="H30" s="824">
        <v>59116.72999999988</v>
      </c>
      <c r="I30" s="822">
        <v>9</v>
      </c>
      <c r="J30" s="823">
        <v>5832.6722222221997</v>
      </c>
      <c r="K30" s="824">
        <v>52494.049999999799</v>
      </c>
      <c r="L30" s="822">
        <v>21</v>
      </c>
      <c r="M30" s="823">
        <v>6771.5428571428456</v>
      </c>
      <c r="N30" s="824">
        <v>142202.39999999976</v>
      </c>
      <c r="O30" s="822">
        <v>30</v>
      </c>
      <c r="P30" s="823">
        <v>6541.52066666667</v>
      </c>
      <c r="Q30" s="824">
        <v>196245.62000000011</v>
      </c>
      <c r="R30" s="822">
        <v>39</v>
      </c>
      <c r="S30" s="823">
        <v>5931.3551282051285</v>
      </c>
      <c r="T30" s="824">
        <v>231322.85</v>
      </c>
      <c r="U30" s="822">
        <v>18</v>
      </c>
      <c r="V30" s="823">
        <v>6134.6049999999877</v>
      </c>
      <c r="W30" s="824">
        <v>110422.88999999978</v>
      </c>
      <c r="X30" s="822">
        <v>14</v>
      </c>
      <c r="Y30" s="823">
        <v>6892.1621428571234</v>
      </c>
      <c r="Z30" s="824">
        <v>96490.269999999728</v>
      </c>
      <c r="AA30" s="822">
        <v>15</v>
      </c>
      <c r="AB30" s="823">
        <v>5262.0573333333259</v>
      </c>
      <c r="AC30" s="824">
        <v>78930.859999999884</v>
      </c>
      <c r="AD30" s="822">
        <v>29</v>
      </c>
      <c r="AE30" s="823">
        <v>5740.3882758620603</v>
      </c>
      <c r="AF30" s="824">
        <v>166471.25999999975</v>
      </c>
      <c r="AG30" s="822">
        <v>24</v>
      </c>
      <c r="AH30" s="823">
        <v>6050.5683333333391</v>
      </c>
      <c r="AI30" s="824">
        <v>145213.64000000013</v>
      </c>
      <c r="AJ30" s="822">
        <v>37</v>
      </c>
      <c r="AK30" s="823">
        <v>5007.3524324324308</v>
      </c>
      <c r="AL30" s="824">
        <v>185272.03999999995</v>
      </c>
      <c r="AM30" s="822">
        <v>25</v>
      </c>
      <c r="AN30" s="823">
        <v>7127.3676000000032</v>
      </c>
      <c r="AO30" s="824">
        <v>178184.19000000009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0.29664051885651077</v>
      </c>
      <c r="D34" s="833">
        <v>1284.8014339622641</v>
      </c>
      <c r="E34" s="834">
        <v>340472.38</v>
      </c>
      <c r="F34" s="832">
        <v>0.33530405240831668</v>
      </c>
      <c r="G34" s="833">
        <v>1720.7837500000001</v>
      </c>
      <c r="H34" s="834">
        <v>13766.27</v>
      </c>
      <c r="I34" s="832">
        <v>0.289775549947341</v>
      </c>
      <c r="J34" s="833">
        <v>1166.5899999999999</v>
      </c>
      <c r="K34" s="834">
        <v>10499.31</v>
      </c>
      <c r="L34" s="832">
        <v>0.26922112994490988</v>
      </c>
      <c r="M34" s="833">
        <v>1307.9838095238094</v>
      </c>
      <c r="N34" s="834">
        <v>27467.66</v>
      </c>
      <c r="O34" s="832">
        <v>0.26502027354786883</v>
      </c>
      <c r="P34" s="833">
        <v>1241.0983333333331</v>
      </c>
      <c r="Q34" s="834">
        <v>37232.949999999997</v>
      </c>
      <c r="R34" s="832">
        <v>0.32227369744803863</v>
      </c>
      <c r="S34" s="833">
        <v>1332.5951282051283</v>
      </c>
      <c r="T34" s="834">
        <v>51971.21</v>
      </c>
      <c r="U34" s="832">
        <v>0.26405313205751446</v>
      </c>
      <c r="V34" s="833">
        <v>1094.9577777777779</v>
      </c>
      <c r="W34" s="834">
        <v>19709.240000000002</v>
      </c>
      <c r="X34" s="832">
        <v>0.26899798444899964</v>
      </c>
      <c r="Y34" s="833">
        <v>1336.3285714285714</v>
      </c>
      <c r="Z34" s="834">
        <v>18708.599999999999</v>
      </c>
      <c r="AA34" s="832">
        <v>0.38257540925095052</v>
      </c>
      <c r="AB34" s="833">
        <v>1051.9714285714285</v>
      </c>
      <c r="AC34" s="834">
        <v>14727.6</v>
      </c>
      <c r="AD34" s="832">
        <v>0.28573266236725259</v>
      </c>
      <c r="AE34" s="833">
        <v>1156.576551724138</v>
      </c>
      <c r="AF34" s="834">
        <v>33540.720000000001</v>
      </c>
      <c r="AG34" s="832">
        <v>0.27481744951860088</v>
      </c>
      <c r="AH34" s="833">
        <v>1340.6695652173914</v>
      </c>
      <c r="AI34" s="834">
        <v>30835.4</v>
      </c>
      <c r="AJ34" s="832">
        <v>0.39274263433751966</v>
      </c>
      <c r="AK34" s="833">
        <v>1320.2674285714286</v>
      </c>
      <c r="AL34" s="834">
        <v>46209.36</v>
      </c>
      <c r="AM34" s="832">
        <v>0.26180588724436199</v>
      </c>
      <c r="AN34" s="833">
        <v>1432.1623999999999</v>
      </c>
      <c r="AO34" s="834">
        <v>35804.06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0.37692040296947249</v>
      </c>
      <c r="D35" s="836">
        <v>619.32366037735846</v>
      </c>
      <c r="E35" s="837">
        <v>164120.76999999999</v>
      </c>
      <c r="F35" s="835">
        <v>0.42523724305334853</v>
      </c>
      <c r="G35" s="836">
        <v>747.60374999999999</v>
      </c>
      <c r="H35" s="837">
        <v>5980.83</v>
      </c>
      <c r="I35" s="835">
        <v>0.38730752381637618</v>
      </c>
      <c r="J35" s="836">
        <v>658.16888888888889</v>
      </c>
      <c r="K35" s="837">
        <v>5923.52</v>
      </c>
      <c r="L35" s="835">
        <v>0.4212922776837057</v>
      </c>
      <c r="M35" s="836">
        <v>746.28095238095239</v>
      </c>
      <c r="N35" s="837">
        <v>15671.9</v>
      </c>
      <c r="O35" s="835">
        <v>0.40734219836170726</v>
      </c>
      <c r="P35" s="836">
        <v>709.58033333333333</v>
      </c>
      <c r="Q35" s="837">
        <v>21287.41</v>
      </c>
      <c r="R35" s="835">
        <v>0.37678559340352791</v>
      </c>
      <c r="S35" s="836">
        <v>590.85333333333335</v>
      </c>
      <c r="T35" s="837">
        <v>23043.279999999999</v>
      </c>
      <c r="U35" s="835">
        <v>0.35239091171553594</v>
      </c>
      <c r="V35" s="836">
        <v>583.16388888888889</v>
      </c>
      <c r="W35" s="837">
        <v>10496.95</v>
      </c>
      <c r="X35" s="835">
        <v>0.34586940263625476</v>
      </c>
      <c r="Y35" s="836">
        <v>528.53785714285709</v>
      </c>
      <c r="Z35" s="837">
        <v>7399.53</v>
      </c>
      <c r="AA35" s="835">
        <v>0.35585955020183252</v>
      </c>
      <c r="AB35" s="836">
        <v>555.39</v>
      </c>
      <c r="AC35" s="837">
        <v>7775.46</v>
      </c>
      <c r="AD35" s="835">
        <v>0.36937387629511703</v>
      </c>
      <c r="AE35" s="836">
        <v>595.00896551724134</v>
      </c>
      <c r="AF35" s="837">
        <v>17255.259999999998</v>
      </c>
      <c r="AG35" s="835">
        <v>0.27134705118255198</v>
      </c>
      <c r="AH35" s="836">
        <v>344.76695652173913</v>
      </c>
      <c r="AI35" s="837">
        <v>7929.64</v>
      </c>
      <c r="AJ35" s="835">
        <v>0.421297407774543</v>
      </c>
      <c r="AK35" s="836">
        <v>801.2034285714285</v>
      </c>
      <c r="AL35" s="837">
        <v>28042.12</v>
      </c>
      <c r="AM35" s="835">
        <v>0.3335449270490175</v>
      </c>
      <c r="AN35" s="836">
        <v>532.59480000000008</v>
      </c>
      <c r="AO35" s="837">
        <v>13314.87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120.09116981132075</v>
      </c>
      <c r="E36" s="834">
        <v>31824.16</v>
      </c>
      <c r="F36" s="812"/>
      <c r="G36" s="833">
        <v>113.19</v>
      </c>
      <c r="H36" s="834">
        <v>905.52</v>
      </c>
      <c r="I36" s="812"/>
      <c r="J36" s="833">
        <v>238.40555555555557</v>
      </c>
      <c r="K36" s="834">
        <v>2145.65</v>
      </c>
      <c r="L36" s="812"/>
      <c r="M36" s="833">
        <v>117.48428571428572</v>
      </c>
      <c r="N36" s="834">
        <v>2467.17</v>
      </c>
      <c r="O36" s="812"/>
      <c r="P36" s="833">
        <v>73.194666666666677</v>
      </c>
      <c r="Q36" s="834">
        <v>2195.84</v>
      </c>
      <c r="R36" s="812"/>
      <c r="S36" s="833">
        <v>82.459230769230771</v>
      </c>
      <c r="T36" s="834">
        <v>3215.91</v>
      </c>
      <c r="U36" s="812"/>
      <c r="V36" s="833">
        <v>105.80833333333334</v>
      </c>
      <c r="W36" s="834">
        <v>1904.55</v>
      </c>
      <c r="X36" s="812"/>
      <c r="Y36" s="833">
        <v>228.45785714285714</v>
      </c>
      <c r="Z36" s="834">
        <v>3198.41</v>
      </c>
      <c r="AA36" s="812"/>
      <c r="AB36" s="833">
        <v>306.69785714285717</v>
      </c>
      <c r="AC36" s="834">
        <v>4293.7700000000004</v>
      </c>
      <c r="AD36" s="812"/>
      <c r="AE36" s="833">
        <v>128.05551724137931</v>
      </c>
      <c r="AF36" s="834">
        <v>3713.61</v>
      </c>
      <c r="AG36" s="812"/>
      <c r="AH36" s="833">
        <v>125.91260869565217</v>
      </c>
      <c r="AI36" s="834">
        <v>2895.99</v>
      </c>
      <c r="AJ36" s="812"/>
      <c r="AK36" s="833">
        <v>67.887428571428572</v>
      </c>
      <c r="AL36" s="834">
        <v>2376.06</v>
      </c>
      <c r="AM36" s="812"/>
      <c r="AN36" s="833">
        <v>100.46719999999999</v>
      </c>
      <c r="AO36" s="834">
        <v>2511.6799999999998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38.978339622641514</v>
      </c>
      <c r="E37" s="834">
        <v>10329.26</v>
      </c>
      <c r="F37" s="812"/>
      <c r="G37" s="833">
        <v>142.45124999999999</v>
      </c>
      <c r="H37" s="834">
        <v>1139.6099999999999</v>
      </c>
      <c r="I37" s="812"/>
      <c r="J37" s="833">
        <v>57.473333333333329</v>
      </c>
      <c r="K37" s="834">
        <v>517.26</v>
      </c>
      <c r="L37" s="812"/>
      <c r="M37" s="833">
        <v>9.5395238095238106</v>
      </c>
      <c r="N37" s="834">
        <v>200.33</v>
      </c>
      <c r="O37" s="812"/>
      <c r="P37" s="833">
        <v>26.899000000000001</v>
      </c>
      <c r="Q37" s="834">
        <v>806.97</v>
      </c>
      <c r="R37" s="812"/>
      <c r="S37" s="833">
        <v>29.536923076923078</v>
      </c>
      <c r="T37" s="834">
        <v>1151.94</v>
      </c>
      <c r="U37" s="812"/>
      <c r="V37" s="833">
        <v>18.017777777777777</v>
      </c>
      <c r="W37" s="834">
        <v>324.32</v>
      </c>
      <c r="X37" s="812"/>
      <c r="Y37" s="833">
        <v>51.135714285714286</v>
      </c>
      <c r="Z37" s="834">
        <v>715.9</v>
      </c>
      <c r="AA37" s="812"/>
      <c r="AB37" s="833">
        <v>-3.7521428571428572</v>
      </c>
      <c r="AC37" s="834">
        <v>-52.53</v>
      </c>
      <c r="AD37" s="812"/>
      <c r="AE37" s="833">
        <v>73.190344827586202</v>
      </c>
      <c r="AF37" s="834">
        <v>2122.52</v>
      </c>
      <c r="AG37" s="812"/>
      <c r="AH37" s="833">
        <v>30.17217391304348</v>
      </c>
      <c r="AI37" s="834">
        <v>693.96</v>
      </c>
      <c r="AJ37" s="812"/>
      <c r="AK37" s="833">
        <v>50.454571428571434</v>
      </c>
      <c r="AL37" s="834">
        <v>1765.91</v>
      </c>
      <c r="AM37" s="812"/>
      <c r="AN37" s="833">
        <v>37.722799999999999</v>
      </c>
      <c r="AO37" s="834">
        <v>943.07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65.460339622641499</v>
      </c>
      <c r="E38" s="837">
        <v>17346.989999999998</v>
      </c>
      <c r="F38" s="838"/>
      <c r="G38" s="836">
        <v>120.0625</v>
      </c>
      <c r="H38" s="837">
        <v>960.5</v>
      </c>
      <c r="I38" s="838"/>
      <c r="J38" s="836">
        <v>164.54444444444445</v>
      </c>
      <c r="K38" s="837">
        <v>1480.9</v>
      </c>
      <c r="L38" s="838"/>
      <c r="M38" s="836">
        <v>30.904761904761905</v>
      </c>
      <c r="N38" s="837">
        <v>649</v>
      </c>
      <c r="O38" s="838"/>
      <c r="P38" s="836">
        <v>62.396000000000001</v>
      </c>
      <c r="Q38" s="837">
        <v>1871.88</v>
      </c>
      <c r="R38" s="838"/>
      <c r="S38" s="836">
        <v>25.282051282051281</v>
      </c>
      <c r="T38" s="837">
        <v>986</v>
      </c>
      <c r="U38" s="838"/>
      <c r="V38" s="836">
        <v>50.046111111111117</v>
      </c>
      <c r="W38" s="837">
        <v>900.83</v>
      </c>
      <c r="X38" s="838"/>
      <c r="Y38" s="836">
        <v>53.571428571428569</v>
      </c>
      <c r="Z38" s="837">
        <v>750</v>
      </c>
      <c r="AA38" s="838"/>
      <c r="AB38" s="836">
        <v>115.575</v>
      </c>
      <c r="AC38" s="837">
        <v>1618.05</v>
      </c>
      <c r="AD38" s="838"/>
      <c r="AE38" s="836">
        <v>60.215862068965514</v>
      </c>
      <c r="AF38" s="837">
        <v>1746.26</v>
      </c>
      <c r="AG38" s="838"/>
      <c r="AH38" s="836">
        <v>79.394347826086957</v>
      </c>
      <c r="AI38" s="837">
        <v>1826.07</v>
      </c>
      <c r="AJ38" s="838"/>
      <c r="AK38" s="836">
        <v>70.689428571428579</v>
      </c>
      <c r="AL38" s="837">
        <v>2474.13</v>
      </c>
      <c r="AM38" s="838"/>
      <c r="AN38" s="836">
        <v>83.334800000000001</v>
      </c>
      <c r="AO38" s="837">
        <v>2083.37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632.89354716981086</v>
      </c>
      <c r="E39" s="834">
        <v>167716.78999999989</v>
      </c>
      <c r="F39" s="812"/>
      <c r="G39" s="833">
        <v>495.99124999999998</v>
      </c>
      <c r="H39" s="834">
        <v>3967.93</v>
      </c>
      <c r="I39" s="812"/>
      <c r="J39" s="833">
        <v>981.97777777777765</v>
      </c>
      <c r="K39" s="834">
        <v>8837.7999999999993</v>
      </c>
      <c r="L39" s="812"/>
      <c r="M39" s="833">
        <v>675.90761904761905</v>
      </c>
      <c r="N39" s="834">
        <v>14194.06</v>
      </c>
      <c r="O39" s="812"/>
      <c r="P39" s="833">
        <v>512.11266666666666</v>
      </c>
      <c r="Q39" s="834">
        <v>15363.38</v>
      </c>
      <c r="R39" s="812"/>
      <c r="S39" s="833">
        <v>373.90333333333331</v>
      </c>
      <c r="T39" s="834">
        <v>14582.23</v>
      </c>
      <c r="U39" s="812"/>
      <c r="V39" s="833">
        <v>750.24333333333334</v>
      </c>
      <c r="W39" s="834">
        <v>13504.38</v>
      </c>
      <c r="X39" s="812"/>
      <c r="Y39" s="833">
        <v>759.74142857142851</v>
      </c>
      <c r="Z39" s="834">
        <v>10636.38</v>
      </c>
      <c r="AA39" s="812"/>
      <c r="AB39" s="833">
        <v>841.81499999999994</v>
      </c>
      <c r="AC39" s="834">
        <v>11785.41</v>
      </c>
      <c r="AD39" s="812"/>
      <c r="AE39" s="833">
        <v>712.53413793103459</v>
      </c>
      <c r="AF39" s="834">
        <v>20663.490000000002</v>
      </c>
      <c r="AG39" s="812"/>
      <c r="AH39" s="833">
        <v>956.57608695652175</v>
      </c>
      <c r="AI39" s="834">
        <v>22001.25</v>
      </c>
      <c r="AJ39" s="812"/>
      <c r="AK39" s="833">
        <v>338.08399999999716</v>
      </c>
      <c r="AL39" s="834">
        <v>11832.9399999999</v>
      </c>
      <c r="AM39" s="812"/>
      <c r="AN39" s="833">
        <v>813.90160000000003</v>
      </c>
      <c r="AO39" s="834">
        <v>20347.54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1381.9588679245282</v>
      </c>
      <c r="E40" s="834">
        <v>366219.1</v>
      </c>
      <c r="F40" s="812"/>
      <c r="G40" s="833">
        <v>3359.8812499999999</v>
      </c>
      <c r="H40" s="834">
        <v>26879.05</v>
      </c>
      <c r="I40" s="812"/>
      <c r="J40" s="833">
        <v>3226.1566666666668</v>
      </c>
      <c r="K40" s="834">
        <v>29035.41</v>
      </c>
      <c r="L40" s="812"/>
      <c r="M40" s="833">
        <v>1752.6861904761906</v>
      </c>
      <c r="N40" s="834">
        <v>36806.410000000003</v>
      </c>
      <c r="O40" s="812"/>
      <c r="P40" s="833">
        <v>1210.5003333333334</v>
      </c>
      <c r="Q40" s="834">
        <v>36315.01</v>
      </c>
      <c r="R40" s="812"/>
      <c r="S40" s="833">
        <v>899.60974358974352</v>
      </c>
      <c r="T40" s="834">
        <v>35084.78</v>
      </c>
      <c r="U40" s="812"/>
      <c r="V40" s="833">
        <v>1767.2572222222223</v>
      </c>
      <c r="W40" s="834">
        <v>31810.63</v>
      </c>
      <c r="X40" s="812"/>
      <c r="Y40" s="833">
        <v>2453.1978571428567</v>
      </c>
      <c r="Z40" s="834">
        <v>34344.769999999997</v>
      </c>
      <c r="AA40" s="812"/>
      <c r="AB40" s="833">
        <v>2515.3971428571426</v>
      </c>
      <c r="AC40" s="834">
        <v>35215.56</v>
      </c>
      <c r="AD40" s="812"/>
      <c r="AE40" s="833">
        <v>721.52344827586205</v>
      </c>
      <c r="AF40" s="834">
        <v>20924.18</v>
      </c>
      <c r="AG40" s="812"/>
      <c r="AH40" s="833">
        <v>801.96173913043469</v>
      </c>
      <c r="AI40" s="834">
        <v>18445.12</v>
      </c>
      <c r="AJ40" s="812"/>
      <c r="AK40" s="833">
        <v>986.47199999999987</v>
      </c>
      <c r="AL40" s="834">
        <v>34526.519999999997</v>
      </c>
      <c r="AM40" s="812"/>
      <c r="AN40" s="833">
        <v>1073.2664</v>
      </c>
      <c r="AO40" s="834">
        <v>26831.66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0.66856529856789648</v>
      </c>
      <c r="E44" s="841">
        <v>1098029.45</v>
      </c>
      <c r="F44" s="839" t="s">
        <v>108</v>
      </c>
      <c r="G44" s="840">
        <v>0.9066758259463964</v>
      </c>
      <c r="H44" s="841">
        <v>53599.71</v>
      </c>
      <c r="I44" s="839" t="s">
        <v>108</v>
      </c>
      <c r="J44" s="840">
        <v>1.1132661701659565</v>
      </c>
      <c r="K44" s="841">
        <v>58439.850000000006</v>
      </c>
      <c r="L44" s="839" t="s">
        <v>108</v>
      </c>
      <c r="M44" s="840">
        <v>0.68533674537138722</v>
      </c>
      <c r="N44" s="841">
        <v>97456.53</v>
      </c>
      <c r="O44" s="839" t="s">
        <v>108</v>
      </c>
      <c r="P44" s="840">
        <v>0.5863745646909212</v>
      </c>
      <c r="Q44" s="841">
        <v>115073.44</v>
      </c>
      <c r="R44" s="839" t="s">
        <v>108</v>
      </c>
      <c r="S44" s="840">
        <v>0.56213793838351889</v>
      </c>
      <c r="T44" s="841">
        <v>130035.34999999999</v>
      </c>
      <c r="U44" s="839" t="s">
        <v>108</v>
      </c>
      <c r="V44" s="840">
        <v>0.71226989259201734</v>
      </c>
      <c r="W44" s="841">
        <v>78650.899999999994</v>
      </c>
      <c r="X44" s="839" t="s">
        <v>108</v>
      </c>
      <c r="Y44" s="840">
        <v>0.78509045523450405</v>
      </c>
      <c r="Z44" s="841">
        <v>75753.59</v>
      </c>
      <c r="AA44" s="839" t="s">
        <v>108</v>
      </c>
      <c r="AB44" s="840">
        <v>0.95480170873597625</v>
      </c>
      <c r="AC44" s="841">
        <v>75363.320000000007</v>
      </c>
      <c r="AD44" s="839" t="s">
        <v>108</v>
      </c>
      <c r="AE44" s="840">
        <v>0.60050029056066589</v>
      </c>
      <c r="AF44" s="841">
        <v>99966.040000000008</v>
      </c>
      <c r="AG44" s="839" t="s">
        <v>108</v>
      </c>
      <c r="AH44" s="840">
        <v>0.58277879405818844</v>
      </c>
      <c r="AI44" s="841">
        <v>84627.43</v>
      </c>
      <c r="AJ44" s="839" t="s">
        <v>108</v>
      </c>
      <c r="AK44" s="840">
        <v>0.68670394086447106</v>
      </c>
      <c r="AL44" s="841">
        <v>127227.03999999989</v>
      </c>
      <c r="AM44" s="839" t="s">
        <v>108</v>
      </c>
      <c r="AN44" s="840">
        <v>0.57152236682726987</v>
      </c>
      <c r="AO44" s="841">
        <v>101836.25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145432.01999999999</v>
      </c>
      <c r="F45" s="812"/>
      <c r="G45" s="820"/>
      <c r="H45" s="834">
        <v>12096.22</v>
      </c>
      <c r="I45" s="812"/>
      <c r="J45" s="820"/>
      <c r="K45" s="834">
        <v>12651.8</v>
      </c>
      <c r="L45" s="812"/>
      <c r="M45" s="820"/>
      <c r="N45" s="834">
        <v>11492.2</v>
      </c>
      <c r="O45" s="812"/>
      <c r="P45" s="820"/>
      <c r="Q45" s="834">
        <v>12302.2</v>
      </c>
      <c r="R45" s="812"/>
      <c r="S45" s="820"/>
      <c r="T45" s="834">
        <v>12792.2</v>
      </c>
      <c r="U45" s="812"/>
      <c r="V45" s="820"/>
      <c r="W45" s="834">
        <v>9969.7000000000007</v>
      </c>
      <c r="X45" s="812"/>
      <c r="Y45" s="820"/>
      <c r="Z45" s="834">
        <v>11969.7</v>
      </c>
      <c r="AA45" s="812"/>
      <c r="AB45" s="820"/>
      <c r="AC45" s="834">
        <v>11451.95</v>
      </c>
      <c r="AD45" s="812"/>
      <c r="AE45" s="820"/>
      <c r="AF45" s="834">
        <v>13019.7</v>
      </c>
      <c r="AG45" s="812"/>
      <c r="AH45" s="820"/>
      <c r="AI45" s="834">
        <v>13952.2</v>
      </c>
      <c r="AJ45" s="812"/>
      <c r="AK45" s="820"/>
      <c r="AL45" s="834">
        <v>13561.95</v>
      </c>
      <c r="AM45" s="812"/>
      <c r="AN45" s="820"/>
      <c r="AO45" s="834">
        <v>10172.200000000001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109318.68000000001</v>
      </c>
      <c r="F46" s="812"/>
      <c r="G46" s="820"/>
      <c r="H46" s="834">
        <v>7908.3</v>
      </c>
      <c r="I46" s="812"/>
      <c r="J46" s="820"/>
      <c r="K46" s="834">
        <v>8941.86</v>
      </c>
      <c r="L46" s="812"/>
      <c r="M46" s="820"/>
      <c r="N46" s="834">
        <v>8376.56</v>
      </c>
      <c r="O46" s="812"/>
      <c r="P46" s="820"/>
      <c r="Q46" s="834">
        <v>8037.27</v>
      </c>
      <c r="R46" s="812"/>
      <c r="S46" s="820"/>
      <c r="T46" s="834">
        <v>9961.3799999999992</v>
      </c>
      <c r="U46" s="812"/>
      <c r="V46" s="820"/>
      <c r="W46" s="834">
        <v>8615.69</v>
      </c>
      <c r="X46" s="812"/>
      <c r="Y46" s="820"/>
      <c r="Z46" s="834">
        <v>8642.68</v>
      </c>
      <c r="AA46" s="812"/>
      <c r="AB46" s="820"/>
      <c r="AC46" s="834">
        <v>8557.83</v>
      </c>
      <c r="AD46" s="812"/>
      <c r="AE46" s="820"/>
      <c r="AF46" s="834">
        <v>9046.16</v>
      </c>
      <c r="AG46" s="812"/>
      <c r="AH46" s="820"/>
      <c r="AI46" s="834">
        <v>9673.2099999999991</v>
      </c>
      <c r="AJ46" s="812"/>
      <c r="AK46" s="820"/>
      <c r="AL46" s="834">
        <v>10795.04</v>
      </c>
      <c r="AM46" s="812"/>
      <c r="AN46" s="820"/>
      <c r="AO46" s="834">
        <v>10762.7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100107.47999999998</v>
      </c>
      <c r="F52" s="812"/>
      <c r="G52" s="820"/>
      <c r="H52" s="834">
        <v>10797.57</v>
      </c>
      <c r="I52" s="812"/>
      <c r="J52" s="820"/>
      <c r="K52" s="834">
        <v>11191.66</v>
      </c>
      <c r="L52" s="812"/>
      <c r="M52" s="820"/>
      <c r="N52" s="834">
        <v>4727.83</v>
      </c>
      <c r="O52" s="812"/>
      <c r="P52" s="820"/>
      <c r="Q52" s="834">
        <v>4466.22</v>
      </c>
      <c r="R52" s="812"/>
      <c r="S52" s="820"/>
      <c r="T52" s="834">
        <v>9459.39</v>
      </c>
      <c r="U52" s="812"/>
      <c r="V52" s="820"/>
      <c r="W52" s="834">
        <v>10700.38</v>
      </c>
      <c r="X52" s="812"/>
      <c r="Y52" s="820"/>
      <c r="Z52" s="834">
        <v>7289.01</v>
      </c>
      <c r="AA52" s="812"/>
      <c r="AB52" s="820"/>
      <c r="AC52" s="834">
        <v>5930.68</v>
      </c>
      <c r="AD52" s="812"/>
      <c r="AE52" s="820"/>
      <c r="AF52" s="834">
        <v>7379.94</v>
      </c>
      <c r="AG52" s="812"/>
      <c r="AH52" s="820"/>
      <c r="AI52" s="834">
        <v>7007.4</v>
      </c>
      <c r="AJ52" s="812"/>
      <c r="AK52" s="820"/>
      <c r="AL52" s="834">
        <v>6518.5</v>
      </c>
      <c r="AM52" s="812"/>
      <c r="AN52" s="820"/>
      <c r="AO52" s="834">
        <v>14638.9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103363.31</v>
      </c>
      <c r="F53" s="842"/>
      <c r="G53" s="843"/>
      <c r="H53" s="844">
        <v>10270.36</v>
      </c>
      <c r="I53" s="842"/>
      <c r="J53" s="843"/>
      <c r="K53" s="844">
        <v>8943.52</v>
      </c>
      <c r="L53" s="842"/>
      <c r="M53" s="843"/>
      <c r="N53" s="844">
        <v>9317.44</v>
      </c>
      <c r="O53" s="842"/>
      <c r="P53" s="843"/>
      <c r="Q53" s="844">
        <v>10796.69</v>
      </c>
      <c r="R53" s="842"/>
      <c r="S53" s="843"/>
      <c r="T53" s="844">
        <v>13673.1</v>
      </c>
      <c r="U53" s="842"/>
      <c r="V53" s="843"/>
      <c r="W53" s="844">
        <v>8568.67</v>
      </c>
      <c r="X53" s="842"/>
      <c r="Y53" s="843"/>
      <c r="Z53" s="844">
        <v>7392.17</v>
      </c>
      <c r="AA53" s="842"/>
      <c r="AB53" s="843"/>
      <c r="AC53" s="844">
        <v>5915.02</v>
      </c>
      <c r="AD53" s="842"/>
      <c r="AE53" s="843"/>
      <c r="AF53" s="844">
        <v>6007.24</v>
      </c>
      <c r="AG53" s="842"/>
      <c r="AH53" s="843"/>
      <c r="AI53" s="844">
        <v>7096.33</v>
      </c>
      <c r="AJ53" s="842"/>
      <c r="AK53" s="843"/>
      <c r="AL53" s="844">
        <v>6563.34</v>
      </c>
      <c r="AM53" s="842"/>
      <c r="AN53" s="843"/>
      <c r="AO53" s="844">
        <v>8819.43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53589.77</v>
      </c>
      <c r="F54" s="812"/>
      <c r="G54" s="820"/>
      <c r="H54" s="834">
        <v>3996.97</v>
      </c>
      <c r="I54" s="812"/>
      <c r="J54" s="820"/>
      <c r="K54" s="834">
        <v>4653.5200000000004</v>
      </c>
      <c r="L54" s="812"/>
      <c r="M54" s="820"/>
      <c r="N54" s="834">
        <v>3583.12</v>
      </c>
      <c r="O54" s="812"/>
      <c r="P54" s="820"/>
      <c r="Q54" s="834">
        <v>4198.83</v>
      </c>
      <c r="R54" s="812"/>
      <c r="S54" s="820"/>
      <c r="T54" s="834">
        <v>5353.05</v>
      </c>
      <c r="U54" s="812"/>
      <c r="V54" s="820"/>
      <c r="W54" s="834">
        <v>4031.8</v>
      </c>
      <c r="X54" s="812"/>
      <c r="Y54" s="820"/>
      <c r="Z54" s="834">
        <v>4431.3500000000004</v>
      </c>
      <c r="AA54" s="812"/>
      <c r="AB54" s="820"/>
      <c r="AC54" s="834">
        <v>4874.6400000000003</v>
      </c>
      <c r="AD54" s="812"/>
      <c r="AE54" s="820"/>
      <c r="AF54" s="834">
        <v>4219.84</v>
      </c>
      <c r="AG54" s="812"/>
      <c r="AH54" s="820"/>
      <c r="AI54" s="834">
        <v>5643.58</v>
      </c>
      <c r="AJ54" s="812"/>
      <c r="AK54" s="820"/>
      <c r="AL54" s="834">
        <v>2314.0700000000002</v>
      </c>
      <c r="AM54" s="812"/>
      <c r="AN54" s="820"/>
      <c r="AO54" s="834">
        <v>6289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8279.19</v>
      </c>
      <c r="F55" s="812"/>
      <c r="G55" s="820"/>
      <c r="H55" s="834">
        <v>1045.42</v>
      </c>
      <c r="I55" s="812"/>
      <c r="J55" s="820"/>
      <c r="K55" s="834">
        <v>1552.53</v>
      </c>
      <c r="L55" s="812"/>
      <c r="M55" s="820"/>
      <c r="N55" s="834">
        <v>879.83</v>
      </c>
      <c r="O55" s="812"/>
      <c r="P55" s="820"/>
      <c r="Q55" s="834">
        <v>1249.8</v>
      </c>
      <c r="R55" s="812"/>
      <c r="S55" s="820"/>
      <c r="T55" s="834">
        <v>1671.23</v>
      </c>
      <c r="U55" s="812"/>
      <c r="V55" s="820"/>
      <c r="W55" s="834">
        <v>1229.54</v>
      </c>
      <c r="X55" s="812"/>
      <c r="Y55" s="820"/>
      <c r="Z55" s="834">
        <v>-241.94</v>
      </c>
      <c r="AA55" s="812"/>
      <c r="AB55" s="820"/>
      <c r="AC55" s="834">
        <v>299.43</v>
      </c>
      <c r="AD55" s="812"/>
      <c r="AE55" s="820"/>
      <c r="AF55" s="834">
        <v>169.34</v>
      </c>
      <c r="AG55" s="812"/>
      <c r="AH55" s="820"/>
      <c r="AI55" s="834">
        <v>142.19999999999999</v>
      </c>
      <c r="AJ55" s="812"/>
      <c r="AK55" s="820"/>
      <c r="AL55" s="834">
        <v>157.28</v>
      </c>
      <c r="AM55" s="812"/>
      <c r="AN55" s="820"/>
      <c r="AO55" s="834">
        <v>124.53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0.31917014518315906</v>
      </c>
      <c r="E57" s="841">
        <v>524194.45</v>
      </c>
      <c r="F57" s="839" t="s">
        <v>108</v>
      </c>
      <c r="G57" s="840">
        <v>0.78584928496552653</v>
      </c>
      <c r="H57" s="841">
        <v>46456.84</v>
      </c>
      <c r="I57" s="839" t="s">
        <v>108</v>
      </c>
      <c r="J57" s="840">
        <v>0.91966403811479935</v>
      </c>
      <c r="K57" s="841">
        <v>48276.89</v>
      </c>
      <c r="L57" s="839" t="s">
        <v>108</v>
      </c>
      <c r="M57" s="840">
        <v>0.27228077725833089</v>
      </c>
      <c r="N57" s="841">
        <v>38718.98000000001</v>
      </c>
      <c r="O57" s="839" t="s">
        <v>108</v>
      </c>
      <c r="P57" s="840">
        <v>0.2109245036908339</v>
      </c>
      <c r="Q57" s="841">
        <v>41393.010000000009</v>
      </c>
      <c r="R57" s="839" t="s">
        <v>108</v>
      </c>
      <c r="S57" s="840">
        <v>0.2109245036908339</v>
      </c>
      <c r="T57" s="841">
        <v>53252.350000000006</v>
      </c>
      <c r="U57" s="839" t="s">
        <v>108</v>
      </c>
      <c r="V57" s="840">
        <v>1.21092450369083</v>
      </c>
      <c r="W57" s="841">
        <v>43457.78</v>
      </c>
      <c r="X57" s="839" t="s">
        <v>108</v>
      </c>
      <c r="Y57" s="840">
        <v>1.21092450369083</v>
      </c>
      <c r="Z57" s="841">
        <v>39824.969999999994</v>
      </c>
      <c r="AA57" s="839" t="s">
        <v>108</v>
      </c>
      <c r="AB57" s="840">
        <v>1.21092450369083</v>
      </c>
      <c r="AC57" s="841">
        <v>37371.550000000003</v>
      </c>
      <c r="AD57" s="839" t="s">
        <v>108</v>
      </c>
      <c r="AE57" s="840">
        <v>1.21092450369083</v>
      </c>
      <c r="AF57" s="841">
        <v>40184.22</v>
      </c>
      <c r="AG57" s="839" t="s">
        <v>108</v>
      </c>
      <c r="AH57" s="840">
        <v>1.21092450369083</v>
      </c>
      <c r="AI57" s="841">
        <v>43856.92</v>
      </c>
      <c r="AJ57" s="839" t="s">
        <v>108</v>
      </c>
      <c r="AK57" s="840">
        <v>1.21092450369083</v>
      </c>
      <c r="AL57" s="841">
        <v>40252.18</v>
      </c>
      <c r="AM57" s="839" t="s">
        <v>108</v>
      </c>
      <c r="AN57" s="840">
        <v>1.21092450369083</v>
      </c>
      <c r="AO57" s="841">
        <v>51148.76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88238.200000000012</v>
      </c>
      <c r="F60" s="847"/>
      <c r="G60" s="848"/>
      <c r="H60" s="849">
        <v>5793.89</v>
      </c>
      <c r="I60" s="847"/>
      <c r="J60" s="848"/>
      <c r="K60" s="849">
        <v>5116.88</v>
      </c>
      <c r="L60" s="847"/>
      <c r="M60" s="848"/>
      <c r="N60" s="849">
        <v>5238.0600000000004</v>
      </c>
      <c r="O60" s="847"/>
      <c r="P60" s="848"/>
      <c r="Q60" s="849">
        <v>4993.4399999999996</v>
      </c>
      <c r="R60" s="847"/>
      <c r="S60" s="848"/>
      <c r="T60" s="849">
        <v>8441.26</v>
      </c>
      <c r="U60" s="847"/>
      <c r="V60" s="848"/>
      <c r="W60" s="849">
        <v>7316.83</v>
      </c>
      <c r="X60" s="847"/>
      <c r="Y60" s="848"/>
      <c r="Z60" s="849">
        <v>6626.51</v>
      </c>
      <c r="AA60" s="847"/>
      <c r="AB60" s="848"/>
      <c r="AC60" s="849">
        <v>7910.75</v>
      </c>
      <c r="AD60" s="847"/>
      <c r="AE60" s="848"/>
      <c r="AF60" s="849">
        <v>9006.4699999999993</v>
      </c>
      <c r="AG60" s="847"/>
      <c r="AH60" s="848"/>
      <c r="AI60" s="849">
        <v>8049.91</v>
      </c>
      <c r="AJ60" s="847"/>
      <c r="AK60" s="848"/>
      <c r="AL60" s="849">
        <v>9735.27</v>
      </c>
      <c r="AM60" s="847"/>
      <c r="AN60" s="848"/>
      <c r="AO60" s="849">
        <v>10008.93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54831.46</v>
      </c>
      <c r="F61" s="812"/>
      <c r="G61" s="820"/>
      <c r="H61" s="834">
        <v>4749.88</v>
      </c>
      <c r="I61" s="812"/>
      <c r="J61" s="820"/>
      <c r="K61" s="834">
        <v>4371.2</v>
      </c>
      <c r="L61" s="812"/>
      <c r="M61" s="820"/>
      <c r="N61" s="834">
        <v>4371.2</v>
      </c>
      <c r="O61" s="812"/>
      <c r="P61" s="820"/>
      <c r="Q61" s="834">
        <v>4537.54</v>
      </c>
      <c r="R61" s="812"/>
      <c r="S61" s="820"/>
      <c r="T61" s="834">
        <v>5260.81</v>
      </c>
      <c r="U61" s="812"/>
      <c r="V61" s="820"/>
      <c r="W61" s="834">
        <v>4468.3500000000004</v>
      </c>
      <c r="X61" s="812"/>
      <c r="Y61" s="820"/>
      <c r="Z61" s="834">
        <v>4489.6000000000004</v>
      </c>
      <c r="AA61" s="812"/>
      <c r="AB61" s="820"/>
      <c r="AC61" s="834">
        <v>4562.82</v>
      </c>
      <c r="AD61" s="812"/>
      <c r="AE61" s="820"/>
      <c r="AF61" s="834">
        <v>4246.2</v>
      </c>
      <c r="AG61" s="812"/>
      <c r="AH61" s="820"/>
      <c r="AI61" s="834">
        <v>4885.13</v>
      </c>
      <c r="AJ61" s="812"/>
      <c r="AK61" s="820"/>
      <c r="AL61" s="834">
        <v>4394.9399999999996</v>
      </c>
      <c r="AM61" s="812"/>
      <c r="AN61" s="820"/>
      <c r="AO61" s="834">
        <v>4493.79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15061.779999999999</v>
      </c>
      <c r="F62" s="812"/>
      <c r="G62" s="820"/>
      <c r="H62" s="834">
        <v>607.84</v>
      </c>
      <c r="I62" s="812"/>
      <c r="J62" s="820"/>
      <c r="K62" s="834">
        <v>341.03</v>
      </c>
      <c r="L62" s="812"/>
      <c r="M62" s="820"/>
      <c r="N62" s="834">
        <v>1556.43</v>
      </c>
      <c r="O62" s="812"/>
      <c r="P62" s="820"/>
      <c r="Q62" s="834">
        <v>1481.23</v>
      </c>
      <c r="R62" s="812"/>
      <c r="S62" s="820"/>
      <c r="T62" s="834">
        <v>1088.52</v>
      </c>
      <c r="U62" s="812"/>
      <c r="V62" s="820"/>
      <c r="W62" s="834">
        <v>1461.62</v>
      </c>
      <c r="X62" s="812"/>
      <c r="Y62" s="820"/>
      <c r="Z62" s="834">
        <v>3268.68</v>
      </c>
      <c r="AA62" s="812"/>
      <c r="AB62" s="820"/>
      <c r="AC62" s="834">
        <v>1080.6600000000001</v>
      </c>
      <c r="AD62" s="812"/>
      <c r="AE62" s="820"/>
      <c r="AF62" s="834">
        <v>975.02</v>
      </c>
      <c r="AG62" s="812"/>
      <c r="AH62" s="820"/>
      <c r="AI62" s="834">
        <v>874.14</v>
      </c>
      <c r="AJ62" s="812"/>
      <c r="AK62" s="820"/>
      <c r="AL62" s="834">
        <v>1199.4000000000001</v>
      </c>
      <c r="AM62" s="812"/>
      <c r="AN62" s="820"/>
      <c r="AO62" s="834">
        <v>1127.21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41147.009999999995</v>
      </c>
      <c r="F63" s="847"/>
      <c r="G63" s="848"/>
      <c r="H63" s="849">
        <v>3166.27</v>
      </c>
      <c r="I63" s="847"/>
      <c r="J63" s="848"/>
      <c r="K63" s="849">
        <v>3357.94</v>
      </c>
      <c r="L63" s="847"/>
      <c r="M63" s="848"/>
      <c r="N63" s="849">
        <v>2655.91</v>
      </c>
      <c r="O63" s="847"/>
      <c r="P63" s="848"/>
      <c r="Q63" s="849">
        <v>3008.26</v>
      </c>
      <c r="R63" s="847"/>
      <c r="S63" s="848"/>
      <c r="T63" s="849">
        <v>3645.57</v>
      </c>
      <c r="U63" s="847"/>
      <c r="V63" s="848"/>
      <c r="W63" s="849">
        <v>3629.84</v>
      </c>
      <c r="X63" s="847"/>
      <c r="Y63" s="848"/>
      <c r="Z63" s="849">
        <v>3200.5</v>
      </c>
      <c r="AA63" s="847"/>
      <c r="AB63" s="848"/>
      <c r="AC63" s="849">
        <v>3483.32</v>
      </c>
      <c r="AD63" s="847"/>
      <c r="AE63" s="848"/>
      <c r="AF63" s="849">
        <v>3699.01</v>
      </c>
      <c r="AG63" s="847"/>
      <c r="AH63" s="848"/>
      <c r="AI63" s="849">
        <v>3076.7</v>
      </c>
      <c r="AJ63" s="847"/>
      <c r="AK63" s="848"/>
      <c r="AL63" s="849">
        <v>3731.16</v>
      </c>
      <c r="AM63" s="847"/>
      <c r="AN63" s="848"/>
      <c r="AO63" s="849">
        <v>4492.53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928.47</v>
      </c>
      <c r="F64" s="812"/>
      <c r="G64" s="820"/>
      <c r="H64" s="834">
        <v>0</v>
      </c>
      <c r="I64" s="812"/>
      <c r="J64" s="820"/>
      <c r="K64" s="834">
        <v>7.5</v>
      </c>
      <c r="L64" s="812"/>
      <c r="M64" s="820"/>
      <c r="N64" s="834">
        <v>0</v>
      </c>
      <c r="O64" s="812"/>
      <c r="P64" s="820"/>
      <c r="Q64" s="834">
        <v>2.4900000000000002</v>
      </c>
      <c r="R64" s="812"/>
      <c r="S64" s="820"/>
      <c r="T64" s="834">
        <v>32.58</v>
      </c>
      <c r="U64" s="812"/>
      <c r="V64" s="820"/>
      <c r="W64" s="834">
        <v>0</v>
      </c>
      <c r="X64" s="812"/>
      <c r="Y64" s="820"/>
      <c r="Z64" s="834">
        <v>10.99</v>
      </c>
      <c r="AA64" s="812"/>
      <c r="AB64" s="820"/>
      <c r="AC64" s="834">
        <v>75.790000000000006</v>
      </c>
      <c r="AD64" s="812"/>
      <c r="AE64" s="820"/>
      <c r="AF64" s="834">
        <v>0</v>
      </c>
      <c r="AG64" s="812"/>
      <c r="AH64" s="820"/>
      <c r="AI64" s="834">
        <v>301.85000000000002</v>
      </c>
      <c r="AJ64" s="812"/>
      <c r="AK64" s="820"/>
      <c r="AL64" s="834">
        <v>10.79</v>
      </c>
      <c r="AM64" s="812"/>
      <c r="AN64" s="820"/>
      <c r="AO64" s="834">
        <v>486.48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554.66000000000008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0</v>
      </c>
      <c r="O65" s="812"/>
      <c r="P65" s="820"/>
      <c r="Q65" s="834">
        <v>0</v>
      </c>
      <c r="R65" s="812"/>
      <c r="S65" s="820"/>
      <c r="T65" s="834">
        <v>0</v>
      </c>
      <c r="U65" s="812"/>
      <c r="V65" s="820"/>
      <c r="W65" s="834">
        <v>78.08</v>
      </c>
      <c r="X65" s="812"/>
      <c r="Y65" s="820"/>
      <c r="Z65" s="834">
        <v>229.08</v>
      </c>
      <c r="AA65" s="812"/>
      <c r="AB65" s="820"/>
      <c r="AC65" s="834">
        <v>247.5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7259.26</v>
      </c>
      <c r="F66" s="812"/>
      <c r="G66" s="820"/>
      <c r="H66" s="834">
        <v>499.83</v>
      </c>
      <c r="I66" s="812"/>
      <c r="J66" s="820"/>
      <c r="K66" s="834">
        <v>652.70000000000005</v>
      </c>
      <c r="L66" s="812"/>
      <c r="M66" s="820"/>
      <c r="N66" s="834">
        <v>157.66</v>
      </c>
      <c r="O66" s="812"/>
      <c r="P66" s="820"/>
      <c r="Q66" s="834">
        <v>431.9</v>
      </c>
      <c r="R66" s="812"/>
      <c r="S66" s="820"/>
      <c r="T66" s="834">
        <v>899.59</v>
      </c>
      <c r="U66" s="812"/>
      <c r="V66" s="820"/>
      <c r="W66" s="834">
        <v>502.79</v>
      </c>
      <c r="X66" s="812"/>
      <c r="Y66" s="820"/>
      <c r="Z66" s="834">
        <v>751.32</v>
      </c>
      <c r="AA66" s="812"/>
      <c r="AB66" s="820"/>
      <c r="AC66" s="834">
        <v>884.8</v>
      </c>
      <c r="AD66" s="812"/>
      <c r="AE66" s="820"/>
      <c r="AF66" s="834">
        <v>336.26</v>
      </c>
      <c r="AG66" s="812"/>
      <c r="AH66" s="820"/>
      <c r="AI66" s="834">
        <v>856.73</v>
      </c>
      <c r="AJ66" s="812"/>
      <c r="AK66" s="820"/>
      <c r="AL66" s="834">
        <v>802.33</v>
      </c>
      <c r="AM66" s="812"/>
      <c r="AN66" s="820"/>
      <c r="AO66" s="834">
        <v>483.35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2891.49</v>
      </c>
      <c r="F67" s="812"/>
      <c r="G67" s="820"/>
      <c r="H67" s="834">
        <v>203.83</v>
      </c>
      <c r="I67" s="812"/>
      <c r="J67" s="820"/>
      <c r="K67" s="834">
        <v>203.33</v>
      </c>
      <c r="L67" s="812"/>
      <c r="M67" s="820"/>
      <c r="N67" s="834">
        <v>254.73</v>
      </c>
      <c r="O67" s="812"/>
      <c r="P67" s="820"/>
      <c r="Q67" s="834">
        <v>235.92</v>
      </c>
      <c r="R67" s="812"/>
      <c r="S67" s="820"/>
      <c r="T67" s="834">
        <v>222.63</v>
      </c>
      <c r="U67" s="812"/>
      <c r="V67" s="820"/>
      <c r="W67" s="834">
        <v>364.45</v>
      </c>
      <c r="X67" s="812"/>
      <c r="Y67" s="820"/>
      <c r="Z67" s="834">
        <v>203.57</v>
      </c>
      <c r="AA67" s="812"/>
      <c r="AB67" s="820"/>
      <c r="AC67" s="834">
        <v>205.77</v>
      </c>
      <c r="AD67" s="812"/>
      <c r="AE67" s="820"/>
      <c r="AF67" s="834">
        <v>205.64</v>
      </c>
      <c r="AG67" s="812"/>
      <c r="AH67" s="820"/>
      <c r="AI67" s="834">
        <v>213.35</v>
      </c>
      <c r="AJ67" s="812"/>
      <c r="AK67" s="820"/>
      <c r="AL67" s="834">
        <v>387.42</v>
      </c>
      <c r="AM67" s="812"/>
      <c r="AN67" s="820"/>
      <c r="AO67" s="834">
        <v>190.85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2023.0000000000005</v>
      </c>
      <c r="F68" s="812"/>
      <c r="G68" s="820"/>
      <c r="H68" s="834">
        <v>202.86</v>
      </c>
      <c r="I68" s="812"/>
      <c r="J68" s="820"/>
      <c r="K68" s="834">
        <v>164.96</v>
      </c>
      <c r="L68" s="812"/>
      <c r="M68" s="820"/>
      <c r="N68" s="834">
        <v>179.07</v>
      </c>
      <c r="O68" s="812"/>
      <c r="P68" s="820"/>
      <c r="Q68" s="834">
        <v>258.2</v>
      </c>
      <c r="R68" s="812"/>
      <c r="S68" s="820"/>
      <c r="T68" s="834">
        <v>312.69</v>
      </c>
      <c r="U68" s="812"/>
      <c r="V68" s="820"/>
      <c r="W68" s="834">
        <v>82.69</v>
      </c>
      <c r="X68" s="812"/>
      <c r="Y68" s="820"/>
      <c r="Z68" s="834">
        <v>239.74</v>
      </c>
      <c r="AA68" s="812"/>
      <c r="AB68" s="820"/>
      <c r="AC68" s="834">
        <v>143.9</v>
      </c>
      <c r="AD68" s="812"/>
      <c r="AE68" s="820"/>
      <c r="AF68" s="834">
        <v>58.8</v>
      </c>
      <c r="AG68" s="812"/>
      <c r="AH68" s="820"/>
      <c r="AI68" s="834">
        <v>82.64</v>
      </c>
      <c r="AJ68" s="812"/>
      <c r="AK68" s="820"/>
      <c r="AL68" s="834">
        <v>55.24</v>
      </c>
      <c r="AM68" s="812"/>
      <c r="AN68" s="820"/>
      <c r="AO68" s="834">
        <v>242.21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9075.8799999999883</v>
      </c>
      <c r="F69" s="812"/>
      <c r="G69" s="820"/>
      <c r="H69" s="834">
        <v>961.56</v>
      </c>
      <c r="I69" s="812"/>
      <c r="J69" s="820"/>
      <c r="K69" s="834">
        <v>653.17999999999995</v>
      </c>
      <c r="L69" s="812"/>
      <c r="M69" s="820"/>
      <c r="N69" s="834">
        <v>726.53</v>
      </c>
      <c r="O69" s="812"/>
      <c r="P69" s="820"/>
      <c r="Q69" s="834">
        <v>832.95</v>
      </c>
      <c r="R69" s="812"/>
      <c r="S69" s="820"/>
      <c r="T69" s="834">
        <v>650.70000000000005</v>
      </c>
      <c r="U69" s="812"/>
      <c r="V69" s="820"/>
      <c r="W69" s="834">
        <v>650.70000000000005</v>
      </c>
      <c r="X69" s="812"/>
      <c r="Y69" s="820"/>
      <c r="Z69" s="834">
        <v>650.70000000000005</v>
      </c>
      <c r="AA69" s="812"/>
      <c r="AB69" s="820"/>
      <c r="AC69" s="834">
        <v>832.95</v>
      </c>
      <c r="AD69" s="812"/>
      <c r="AE69" s="820"/>
      <c r="AF69" s="834">
        <v>650.70000000000005</v>
      </c>
      <c r="AG69" s="812"/>
      <c r="AH69" s="820"/>
      <c r="AI69" s="834">
        <v>650.70000000000005</v>
      </c>
      <c r="AJ69" s="812"/>
      <c r="AK69" s="820"/>
      <c r="AL69" s="834">
        <v>739.8</v>
      </c>
      <c r="AM69" s="812"/>
      <c r="AN69" s="820"/>
      <c r="AO69" s="834">
        <v>1075.4099999999901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3658.1400000000003</v>
      </c>
      <c r="F70" s="812"/>
      <c r="G70" s="820"/>
      <c r="H70" s="834">
        <v>-1272.3</v>
      </c>
      <c r="I70" s="812"/>
      <c r="J70" s="820"/>
      <c r="K70" s="834">
        <v>621.87</v>
      </c>
      <c r="L70" s="812"/>
      <c r="M70" s="820"/>
      <c r="N70" s="834">
        <v>700.08</v>
      </c>
      <c r="O70" s="812"/>
      <c r="P70" s="820"/>
      <c r="Q70" s="834">
        <v>518.23</v>
      </c>
      <c r="R70" s="812"/>
      <c r="S70" s="820"/>
      <c r="T70" s="834">
        <v>-894.63</v>
      </c>
      <c r="U70" s="812"/>
      <c r="V70" s="820"/>
      <c r="W70" s="834">
        <v>-312.31</v>
      </c>
      <c r="X70" s="812"/>
      <c r="Y70" s="820"/>
      <c r="Z70" s="834">
        <v>1085.0899999999999</v>
      </c>
      <c r="AA70" s="812"/>
      <c r="AB70" s="820"/>
      <c r="AC70" s="834">
        <v>974.97</v>
      </c>
      <c r="AD70" s="812"/>
      <c r="AE70" s="820"/>
      <c r="AF70" s="834">
        <v>179.84</v>
      </c>
      <c r="AG70" s="812"/>
      <c r="AH70" s="820"/>
      <c r="AI70" s="834">
        <v>423.95</v>
      </c>
      <c r="AJ70" s="812"/>
      <c r="AK70" s="820"/>
      <c r="AL70" s="834">
        <v>1301.5899999999999</v>
      </c>
      <c r="AM70" s="812"/>
      <c r="AN70" s="820"/>
      <c r="AO70" s="834">
        <v>331.76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35883.200000000004</v>
      </c>
      <c r="F71" s="812"/>
      <c r="G71" s="820"/>
      <c r="H71" s="834">
        <v>1581.19</v>
      </c>
      <c r="I71" s="812"/>
      <c r="J71" s="820"/>
      <c r="K71" s="834">
        <v>1642.46</v>
      </c>
      <c r="L71" s="812"/>
      <c r="M71" s="820"/>
      <c r="N71" s="834">
        <v>2750.36</v>
      </c>
      <c r="O71" s="812"/>
      <c r="P71" s="820"/>
      <c r="Q71" s="834">
        <v>4388.05</v>
      </c>
      <c r="R71" s="812"/>
      <c r="S71" s="820"/>
      <c r="T71" s="834">
        <v>4109.05</v>
      </c>
      <c r="U71" s="812"/>
      <c r="V71" s="820"/>
      <c r="W71" s="834">
        <v>2461.66</v>
      </c>
      <c r="X71" s="812"/>
      <c r="Y71" s="820"/>
      <c r="Z71" s="834">
        <v>2993.76</v>
      </c>
      <c r="AA71" s="812"/>
      <c r="AB71" s="820"/>
      <c r="AC71" s="834">
        <v>1997.75</v>
      </c>
      <c r="AD71" s="812"/>
      <c r="AE71" s="820"/>
      <c r="AF71" s="834">
        <v>2664.71</v>
      </c>
      <c r="AG71" s="812"/>
      <c r="AH71" s="820"/>
      <c r="AI71" s="834">
        <v>3948.54</v>
      </c>
      <c r="AJ71" s="812"/>
      <c r="AK71" s="820"/>
      <c r="AL71" s="834">
        <v>4789.05</v>
      </c>
      <c r="AM71" s="812"/>
      <c r="AN71" s="820"/>
      <c r="AO71" s="834">
        <v>2556.62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0.15925343230269889</v>
      </c>
      <c r="E75" s="841">
        <v>261552.55000000002</v>
      </c>
      <c r="F75" s="839" t="s">
        <v>108</v>
      </c>
      <c r="G75" s="840">
        <v>0.27902169149071737</v>
      </c>
      <c r="H75" s="841">
        <v>16494.850000000002</v>
      </c>
      <c r="I75" s="839" t="s">
        <v>108</v>
      </c>
      <c r="J75" s="840">
        <v>0.32638079934773689</v>
      </c>
      <c r="K75" s="841">
        <v>17133.050000000003</v>
      </c>
      <c r="L75" s="839" t="s">
        <v>108</v>
      </c>
      <c r="M75" s="840">
        <v>0.13072936884328273</v>
      </c>
      <c r="N75" s="841">
        <v>18590.03</v>
      </c>
      <c r="O75" s="839" t="s">
        <v>108</v>
      </c>
      <c r="P75" s="840">
        <v>0.10541998338612596</v>
      </c>
      <c r="Q75" s="841">
        <v>20688.21</v>
      </c>
      <c r="R75" s="839" t="s">
        <v>108</v>
      </c>
      <c r="S75" s="840">
        <v>0.10275150077045998</v>
      </c>
      <c r="T75" s="841">
        <v>23768.77</v>
      </c>
      <c r="U75" s="839" t="s">
        <v>108</v>
      </c>
      <c r="V75" s="840">
        <v>0.18750369601809952</v>
      </c>
      <c r="W75" s="841">
        <v>20704.7</v>
      </c>
      <c r="X75" s="839" t="s">
        <v>108</v>
      </c>
      <c r="Y75" s="840">
        <v>0.24613404025089861</v>
      </c>
      <c r="Z75" s="841">
        <v>23749.540000000008</v>
      </c>
      <c r="AA75" s="839" t="s">
        <v>108</v>
      </c>
      <c r="AB75" s="840">
        <v>0.28380509220348082</v>
      </c>
      <c r="AC75" s="841">
        <v>22400.980000000003</v>
      </c>
      <c r="AD75" s="839" t="s">
        <v>108</v>
      </c>
      <c r="AE75" s="840">
        <v>0.13229100326386686</v>
      </c>
      <c r="AF75" s="841">
        <v>22022.649999999994</v>
      </c>
      <c r="AG75" s="839" t="s">
        <v>108</v>
      </c>
      <c r="AH75" s="840">
        <v>0.16089149752048071</v>
      </c>
      <c r="AI75" s="841">
        <v>23363.64</v>
      </c>
      <c r="AJ75" s="839" t="s">
        <v>108</v>
      </c>
      <c r="AK75" s="840">
        <v>0.14652502341961585</v>
      </c>
      <c r="AL75" s="841">
        <v>27146.989999999998</v>
      </c>
      <c r="AM75" s="839" t="s">
        <v>108</v>
      </c>
      <c r="AN75" s="840">
        <v>0.14304939175580039</v>
      </c>
      <c r="AO75" s="841">
        <v>25489.139999999981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1.1469888760537543</v>
      </c>
      <c r="E77" s="850">
        <v>1883776.45</v>
      </c>
      <c r="F77" s="839" t="s">
        <v>108</v>
      </c>
      <c r="G77" s="840">
        <v>1.9715468024026401</v>
      </c>
      <c r="H77" s="850">
        <v>116551.4</v>
      </c>
      <c r="I77" s="839" t="s">
        <v>108</v>
      </c>
      <c r="J77" s="840">
        <v>2.3593110076284929</v>
      </c>
      <c r="K77" s="850">
        <v>123849.79000000001</v>
      </c>
      <c r="L77" s="839" t="s">
        <v>108</v>
      </c>
      <c r="M77" s="840">
        <v>1.088346891473001</v>
      </c>
      <c r="N77" s="850">
        <v>154765.54</v>
      </c>
      <c r="O77" s="839" t="s">
        <v>108</v>
      </c>
      <c r="P77" s="840">
        <v>0.90271905176788103</v>
      </c>
      <c r="Q77" s="850">
        <v>177154.66</v>
      </c>
      <c r="R77" s="839" t="s">
        <v>108</v>
      </c>
      <c r="S77" s="840">
        <v>0.89509734987269951</v>
      </c>
      <c r="T77" s="850">
        <v>207056.47</v>
      </c>
      <c r="U77" s="839" t="s">
        <v>108</v>
      </c>
      <c r="V77" s="840">
        <v>1.2933313011459879</v>
      </c>
      <c r="W77" s="850">
        <v>142813.38</v>
      </c>
      <c r="X77" s="839" t="s">
        <v>108</v>
      </c>
      <c r="Y77" s="840">
        <v>1.4439601008474783</v>
      </c>
      <c r="Z77" s="850">
        <v>139328.1</v>
      </c>
      <c r="AA77" s="839" t="s">
        <v>108</v>
      </c>
      <c r="AB77" s="840">
        <v>1.7120787737521193</v>
      </c>
      <c r="AC77" s="850">
        <v>135135.85</v>
      </c>
      <c r="AD77" s="839" t="s">
        <v>108</v>
      </c>
      <c r="AE77" s="840">
        <v>0.9741796271620714</v>
      </c>
      <c r="AF77" s="850">
        <v>162172.91</v>
      </c>
      <c r="AG77" s="839" t="s">
        <v>108</v>
      </c>
      <c r="AH77" s="840">
        <v>1.0456868239099293</v>
      </c>
      <c r="AI77" s="850">
        <v>151847.99</v>
      </c>
      <c r="AJ77" s="839" t="s">
        <v>108</v>
      </c>
      <c r="AK77" s="840">
        <v>1.0504888379271904</v>
      </c>
      <c r="AL77" s="850">
        <v>194626.20999999988</v>
      </c>
      <c r="AM77" s="839" t="s">
        <v>108</v>
      </c>
      <c r="AN77" s="840">
        <v>1.0016273048691913</v>
      </c>
      <c r="AO77" s="850">
        <v>178474.15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413289.73000000004</v>
      </c>
      <c r="F78" s="812"/>
      <c r="G78" s="820"/>
      <c r="H78" s="834">
        <v>18905</v>
      </c>
      <c r="I78" s="812"/>
      <c r="J78" s="820"/>
      <c r="K78" s="834">
        <v>2278.0700000000002</v>
      </c>
      <c r="L78" s="812"/>
      <c r="M78" s="820"/>
      <c r="N78" s="834">
        <v>33136.94</v>
      </c>
      <c r="O78" s="812"/>
      <c r="P78" s="820"/>
      <c r="Q78" s="834">
        <v>56342.42</v>
      </c>
      <c r="R78" s="812"/>
      <c r="S78" s="820"/>
      <c r="T78" s="834">
        <v>57768.59</v>
      </c>
      <c r="U78" s="812"/>
      <c r="V78" s="820"/>
      <c r="W78" s="834">
        <v>27489.53</v>
      </c>
      <c r="X78" s="812"/>
      <c r="Y78" s="820"/>
      <c r="Z78" s="834">
        <v>12290.01</v>
      </c>
      <c r="AA78" s="812"/>
      <c r="AB78" s="820"/>
      <c r="AC78" s="834">
        <v>19618.689999999999</v>
      </c>
      <c r="AD78" s="812"/>
      <c r="AE78" s="820"/>
      <c r="AF78" s="834">
        <v>54073.89</v>
      </c>
      <c r="AG78" s="812"/>
      <c r="AH78" s="820"/>
      <c r="AI78" s="834">
        <v>46412.76</v>
      </c>
      <c r="AJ78" s="812"/>
      <c r="AK78" s="820"/>
      <c r="AL78" s="834">
        <v>53053.83</v>
      </c>
      <c r="AM78" s="812"/>
      <c r="AN78" s="820"/>
      <c r="AO78" s="834">
        <v>31920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480905.59999999992</v>
      </c>
      <c r="F81" s="812"/>
      <c r="G81" s="820"/>
      <c r="H81" s="834">
        <v>17420.099999999999</v>
      </c>
      <c r="I81" s="812"/>
      <c r="J81" s="820"/>
      <c r="K81" s="834">
        <v>16676.2</v>
      </c>
      <c r="L81" s="812"/>
      <c r="M81" s="820"/>
      <c r="N81" s="834">
        <v>40227.1</v>
      </c>
      <c r="O81" s="812"/>
      <c r="P81" s="820"/>
      <c r="Q81" s="834">
        <v>47079</v>
      </c>
      <c r="R81" s="812"/>
      <c r="S81" s="820"/>
      <c r="T81" s="834">
        <v>57980.4</v>
      </c>
      <c r="U81" s="812"/>
      <c r="V81" s="820"/>
      <c r="W81" s="834">
        <v>37435.699999999997</v>
      </c>
      <c r="X81" s="812"/>
      <c r="Y81" s="820"/>
      <c r="Z81" s="834">
        <v>22240.799999999999</v>
      </c>
      <c r="AA81" s="812"/>
      <c r="AB81" s="820"/>
      <c r="AC81" s="834">
        <v>31297.599999999999</v>
      </c>
      <c r="AD81" s="812"/>
      <c r="AE81" s="820"/>
      <c r="AF81" s="834">
        <v>54160.1</v>
      </c>
      <c r="AG81" s="812"/>
      <c r="AH81" s="820"/>
      <c r="AI81" s="834">
        <v>35867.599999999999</v>
      </c>
      <c r="AJ81" s="812"/>
      <c r="AK81" s="820"/>
      <c r="AL81" s="834">
        <v>76456</v>
      </c>
      <c r="AM81" s="812"/>
      <c r="AN81" s="820"/>
      <c r="AO81" s="834">
        <v>44065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157675</v>
      </c>
      <c r="F85" s="812"/>
      <c r="G85" s="820"/>
      <c r="H85" s="834">
        <v>4165</v>
      </c>
      <c r="I85" s="812"/>
      <c r="J85" s="820"/>
      <c r="K85" s="834">
        <v>5355</v>
      </c>
      <c r="L85" s="812"/>
      <c r="M85" s="820"/>
      <c r="N85" s="834">
        <v>11900</v>
      </c>
      <c r="O85" s="812"/>
      <c r="P85" s="820"/>
      <c r="Q85" s="834">
        <v>17850</v>
      </c>
      <c r="R85" s="812"/>
      <c r="S85" s="820"/>
      <c r="T85" s="834">
        <v>23800</v>
      </c>
      <c r="U85" s="812"/>
      <c r="V85" s="820"/>
      <c r="W85" s="834">
        <v>10710</v>
      </c>
      <c r="X85" s="812"/>
      <c r="Y85" s="820"/>
      <c r="Z85" s="834">
        <v>8330</v>
      </c>
      <c r="AA85" s="812"/>
      <c r="AB85" s="820"/>
      <c r="AC85" s="834">
        <v>8925</v>
      </c>
      <c r="AD85" s="812"/>
      <c r="AE85" s="820"/>
      <c r="AF85" s="834">
        <v>17255</v>
      </c>
      <c r="AG85" s="812"/>
      <c r="AH85" s="820"/>
      <c r="AI85" s="834">
        <v>13685</v>
      </c>
      <c r="AJ85" s="812"/>
      <c r="AK85" s="820"/>
      <c r="AL85" s="834">
        <v>20825</v>
      </c>
      <c r="AM85" s="812"/>
      <c r="AN85" s="820"/>
      <c r="AO85" s="834">
        <v>14875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1051870.33</v>
      </c>
      <c r="F86" s="851"/>
      <c r="G86" s="852"/>
      <c r="H86" s="853">
        <v>40490.1</v>
      </c>
      <c r="I86" s="851"/>
      <c r="J86" s="852"/>
      <c r="K86" s="853">
        <v>24309.27</v>
      </c>
      <c r="L86" s="851"/>
      <c r="M86" s="852"/>
      <c r="N86" s="853">
        <v>85264.040000000008</v>
      </c>
      <c r="O86" s="851"/>
      <c r="P86" s="852"/>
      <c r="Q86" s="853">
        <v>121271.42</v>
      </c>
      <c r="R86" s="851"/>
      <c r="S86" s="852"/>
      <c r="T86" s="853">
        <v>139548.99</v>
      </c>
      <c r="U86" s="851"/>
      <c r="V86" s="852"/>
      <c r="W86" s="853">
        <v>75635.23</v>
      </c>
      <c r="X86" s="851"/>
      <c r="Y86" s="852"/>
      <c r="Z86" s="853">
        <v>42860.81</v>
      </c>
      <c r="AA86" s="851"/>
      <c r="AB86" s="852"/>
      <c r="AC86" s="853">
        <v>59841.289999999994</v>
      </c>
      <c r="AD86" s="851"/>
      <c r="AE86" s="852"/>
      <c r="AF86" s="853">
        <v>125488.98999999999</v>
      </c>
      <c r="AG86" s="851"/>
      <c r="AH86" s="852"/>
      <c r="AI86" s="853">
        <v>95965.36</v>
      </c>
      <c r="AJ86" s="851"/>
      <c r="AK86" s="852"/>
      <c r="AL86" s="853">
        <v>150334.83000000002</v>
      </c>
      <c r="AM86" s="851"/>
      <c r="AN86" s="852"/>
      <c r="AO86" s="853">
        <v>90860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810460.679999999</v>
      </c>
      <c r="F88" s="857"/>
      <c r="G88" s="858"/>
      <c r="H88" s="859">
        <v>-16944.570000000116</v>
      </c>
      <c r="I88" s="857"/>
      <c r="J88" s="858"/>
      <c r="K88" s="859">
        <v>-47046.470000000205</v>
      </c>
      <c r="L88" s="857"/>
      <c r="M88" s="858"/>
      <c r="N88" s="859">
        <v>72700.899999999761</v>
      </c>
      <c r="O88" s="857"/>
      <c r="P88" s="858"/>
      <c r="Q88" s="859">
        <v>140362.38000000012</v>
      </c>
      <c r="R88" s="857"/>
      <c r="S88" s="858"/>
      <c r="T88" s="859">
        <v>163815.37</v>
      </c>
      <c r="U88" s="857"/>
      <c r="V88" s="858"/>
      <c r="W88" s="859">
        <v>43244.739999999772</v>
      </c>
      <c r="X88" s="857"/>
      <c r="Y88" s="858"/>
      <c r="Z88" s="859">
        <v>22.979999999719439</v>
      </c>
      <c r="AA88" s="857"/>
      <c r="AB88" s="858"/>
      <c r="AC88" s="859">
        <v>3636.2999999998719</v>
      </c>
      <c r="AD88" s="857"/>
      <c r="AE88" s="858"/>
      <c r="AF88" s="859">
        <v>129787.33999999973</v>
      </c>
      <c r="AG88" s="857"/>
      <c r="AH88" s="858"/>
      <c r="AI88" s="859">
        <v>89331.01000000014</v>
      </c>
      <c r="AJ88" s="857"/>
      <c r="AK88" s="858"/>
      <c r="AL88" s="859">
        <v>140980.66000000009</v>
      </c>
      <c r="AM88" s="857"/>
      <c r="AN88" s="858"/>
      <c r="AO88" s="859">
        <v>90570.040000000095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2813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16016262.389999967</v>
      </c>
      <c r="F96" s="801"/>
      <c r="G96" s="802"/>
      <c r="H96" s="866">
        <v>1066828.96</v>
      </c>
      <c r="I96" s="801"/>
      <c r="J96" s="802"/>
      <c r="K96" s="866">
        <v>899970.02999999898</v>
      </c>
      <c r="L96" s="801"/>
      <c r="M96" s="802"/>
      <c r="N96" s="866">
        <v>1070294.77</v>
      </c>
      <c r="O96" s="801"/>
      <c r="P96" s="802"/>
      <c r="Q96" s="866">
        <v>1837134.16</v>
      </c>
      <c r="R96" s="801"/>
      <c r="S96" s="802"/>
      <c r="T96" s="866">
        <v>1654438.74999999</v>
      </c>
      <c r="U96" s="801"/>
      <c r="V96" s="802"/>
      <c r="W96" s="866">
        <v>1477403.5899999901</v>
      </c>
      <c r="X96" s="801"/>
      <c r="Y96" s="802"/>
      <c r="Z96" s="866">
        <v>1396670.81</v>
      </c>
      <c r="AA96" s="801"/>
      <c r="AB96" s="802"/>
      <c r="AC96" s="866">
        <v>1096552.67</v>
      </c>
      <c r="AD96" s="801"/>
      <c r="AE96" s="802"/>
      <c r="AF96" s="866">
        <v>1877677.86</v>
      </c>
      <c r="AG96" s="801"/>
      <c r="AH96" s="802"/>
      <c r="AI96" s="866">
        <v>1387184.80999999</v>
      </c>
      <c r="AJ96" s="801"/>
      <c r="AK96" s="802"/>
      <c r="AL96" s="866">
        <v>842711.86</v>
      </c>
      <c r="AM96" s="801"/>
      <c r="AN96" s="802"/>
      <c r="AO96" s="866">
        <v>1409394.12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62</v>
      </c>
      <c r="D97" s="805">
        <v>2319.7799999999957</v>
      </c>
      <c r="E97" s="806">
        <v>143826.35999999972</v>
      </c>
      <c r="F97" s="804">
        <v>2</v>
      </c>
      <c r="G97" s="805">
        <v>3535.9199999999951</v>
      </c>
      <c r="H97" s="806">
        <v>7071.8399999999901</v>
      </c>
      <c r="I97" s="804">
        <v>9</v>
      </c>
      <c r="J97" s="805">
        <v>2012.4588888888777</v>
      </c>
      <c r="K97" s="806">
        <v>18112.129999999899</v>
      </c>
      <c r="L97" s="804">
        <v>6</v>
      </c>
      <c r="M97" s="805">
        <v>3773.94</v>
      </c>
      <c r="N97" s="806">
        <v>22643.64</v>
      </c>
      <c r="O97" s="804">
        <v>7</v>
      </c>
      <c r="P97" s="805">
        <v>1622.3442857142713</v>
      </c>
      <c r="Q97" s="806">
        <v>11356.4099999999</v>
      </c>
      <c r="R97" s="804">
        <v>6</v>
      </c>
      <c r="S97" s="805">
        <v>1976.7783333333334</v>
      </c>
      <c r="T97" s="806">
        <v>11860.67</v>
      </c>
      <c r="U97" s="804">
        <v>9</v>
      </c>
      <c r="V97" s="805">
        <v>2507.0399999999886</v>
      </c>
      <c r="W97" s="806">
        <v>22563.359999999899</v>
      </c>
      <c r="X97" s="804">
        <v>4</v>
      </c>
      <c r="Y97" s="805">
        <v>1431.6625000000049</v>
      </c>
      <c r="Z97" s="806">
        <v>5726.6500000000196</v>
      </c>
      <c r="AA97" s="804">
        <v>3</v>
      </c>
      <c r="AB97" s="805">
        <v>1558.9766666666667</v>
      </c>
      <c r="AC97" s="806">
        <v>4676.93</v>
      </c>
      <c r="AD97" s="804">
        <v>4</v>
      </c>
      <c r="AE97" s="805">
        <v>3820.39</v>
      </c>
      <c r="AF97" s="806">
        <v>15281.56</v>
      </c>
      <c r="AG97" s="804">
        <v>5</v>
      </c>
      <c r="AH97" s="805">
        <v>2141.4540000000002</v>
      </c>
      <c r="AI97" s="806">
        <v>10707.27</v>
      </c>
      <c r="AJ97" s="804">
        <v>2</v>
      </c>
      <c r="AK97" s="805">
        <v>1366.4749999999949</v>
      </c>
      <c r="AL97" s="806">
        <v>2732.9499999999898</v>
      </c>
      <c r="AM97" s="804">
        <v>5</v>
      </c>
      <c r="AN97" s="805">
        <v>2218.59</v>
      </c>
      <c r="AO97" s="806">
        <v>11092.95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73</v>
      </c>
      <c r="D98" s="805">
        <v>1814.3649315068471</v>
      </c>
      <c r="E98" s="806">
        <v>132448.63999999984</v>
      </c>
      <c r="F98" s="804">
        <v>7</v>
      </c>
      <c r="G98" s="805">
        <v>2276.44</v>
      </c>
      <c r="H98" s="806">
        <v>15935.08</v>
      </c>
      <c r="I98" s="804">
        <v>3</v>
      </c>
      <c r="J98" s="805">
        <v>1481.3966666666665</v>
      </c>
      <c r="K98" s="806">
        <v>4444.1899999999996</v>
      </c>
      <c r="L98" s="804">
        <v>3</v>
      </c>
      <c r="M98" s="805">
        <v>2281.9766666666669</v>
      </c>
      <c r="N98" s="806">
        <v>6845.93</v>
      </c>
      <c r="O98" s="804">
        <v>9</v>
      </c>
      <c r="P98" s="805">
        <v>1875.2299999999891</v>
      </c>
      <c r="Q98" s="806">
        <v>16877.069999999901</v>
      </c>
      <c r="R98" s="804">
        <v>13</v>
      </c>
      <c r="S98" s="805">
        <v>1923.2669230769231</v>
      </c>
      <c r="T98" s="806">
        <v>25002.47</v>
      </c>
      <c r="U98" s="804">
        <v>5</v>
      </c>
      <c r="V98" s="805">
        <v>1368.929999999996</v>
      </c>
      <c r="W98" s="806">
        <v>6844.6499999999796</v>
      </c>
      <c r="X98" s="804">
        <v>5</v>
      </c>
      <c r="Y98" s="805">
        <v>3000.8599999999797</v>
      </c>
      <c r="Z98" s="806">
        <v>15004.299999999899</v>
      </c>
      <c r="AA98" s="804">
        <v>8</v>
      </c>
      <c r="AB98" s="805">
        <v>1068.4225000000024</v>
      </c>
      <c r="AC98" s="806">
        <v>8547.3800000000192</v>
      </c>
      <c r="AD98" s="804">
        <v>6</v>
      </c>
      <c r="AE98" s="805">
        <v>1556.0783333333384</v>
      </c>
      <c r="AF98" s="806">
        <v>9336.4700000000303</v>
      </c>
      <c r="AG98" s="804">
        <v>5</v>
      </c>
      <c r="AH98" s="805">
        <v>4364.8</v>
      </c>
      <c r="AI98" s="806">
        <v>21824</v>
      </c>
      <c r="AJ98" s="804">
        <v>2</v>
      </c>
      <c r="AK98" s="805">
        <v>1534.64</v>
      </c>
      <c r="AL98" s="806">
        <v>3069.28</v>
      </c>
      <c r="AM98" s="804">
        <v>7</v>
      </c>
      <c r="AN98" s="805">
        <v>-183.16857142857</v>
      </c>
      <c r="AO98" s="806">
        <v>-1282.1799999999901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63</v>
      </c>
      <c r="D99" s="805">
        <v>1119.7820634920615</v>
      </c>
      <c r="E99" s="806">
        <v>70546.269999999873</v>
      </c>
      <c r="F99" s="804">
        <v>3</v>
      </c>
      <c r="G99" s="805">
        <v>1247.3500000000001</v>
      </c>
      <c r="H99" s="806">
        <v>3742.05</v>
      </c>
      <c r="I99" s="804">
        <v>1</v>
      </c>
      <c r="J99" s="805">
        <v>500</v>
      </c>
      <c r="K99" s="806">
        <v>500</v>
      </c>
      <c r="L99" s="804">
        <v>5</v>
      </c>
      <c r="M99" s="805">
        <v>1395.21</v>
      </c>
      <c r="N99" s="806">
        <v>6976.05</v>
      </c>
      <c r="O99" s="804">
        <v>12</v>
      </c>
      <c r="P99" s="805">
        <v>862.97166666666669</v>
      </c>
      <c r="Q99" s="806">
        <v>10355.66</v>
      </c>
      <c r="R99" s="804">
        <v>5</v>
      </c>
      <c r="S99" s="805">
        <v>981.52599999999802</v>
      </c>
      <c r="T99" s="806">
        <v>4907.6299999999901</v>
      </c>
      <c r="U99" s="804">
        <v>5</v>
      </c>
      <c r="V99" s="805">
        <v>1005.798</v>
      </c>
      <c r="W99" s="806">
        <v>5028.99</v>
      </c>
      <c r="X99" s="804">
        <v>9</v>
      </c>
      <c r="Y99" s="805">
        <v>1597.0133333333224</v>
      </c>
      <c r="Z99" s="806">
        <v>14373.119999999901</v>
      </c>
      <c r="AA99" s="804">
        <v>8</v>
      </c>
      <c r="AB99" s="805">
        <v>1447.5125</v>
      </c>
      <c r="AC99" s="806">
        <v>11580.1</v>
      </c>
      <c r="AD99" s="804">
        <v>7</v>
      </c>
      <c r="AE99" s="805">
        <v>874.92</v>
      </c>
      <c r="AF99" s="806">
        <v>6124.44</v>
      </c>
      <c r="AG99" s="804">
        <v>4</v>
      </c>
      <c r="AH99" s="805">
        <v>1300.2549999999976</v>
      </c>
      <c r="AI99" s="806">
        <v>5201.0199999999904</v>
      </c>
      <c r="AJ99" s="804">
        <v>3</v>
      </c>
      <c r="AK99" s="805">
        <v>419.0699999999967</v>
      </c>
      <c r="AL99" s="806">
        <v>1257.20999999999</v>
      </c>
      <c r="AM99" s="804">
        <v>1</v>
      </c>
      <c r="AN99" s="805">
        <v>500</v>
      </c>
      <c r="AO99" s="806">
        <v>500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198</v>
      </c>
      <c r="D100" s="810">
        <v>1751.6225757575728</v>
      </c>
      <c r="E100" s="811">
        <v>346821.26999999944</v>
      </c>
      <c r="F100" s="809">
        <v>12</v>
      </c>
      <c r="G100" s="810">
        <v>2229.0808333333325</v>
      </c>
      <c r="H100" s="811">
        <v>26748.96999999999</v>
      </c>
      <c r="I100" s="809">
        <v>13</v>
      </c>
      <c r="J100" s="810">
        <v>1773.563076923069</v>
      </c>
      <c r="K100" s="811">
        <v>23056.319999999898</v>
      </c>
      <c r="L100" s="809">
        <v>14</v>
      </c>
      <c r="M100" s="810">
        <v>2604.687142857143</v>
      </c>
      <c r="N100" s="811">
        <v>36465.620000000003</v>
      </c>
      <c r="O100" s="809">
        <v>28</v>
      </c>
      <c r="P100" s="810">
        <v>1378.1835714285642</v>
      </c>
      <c r="Q100" s="811">
        <v>38589.139999999796</v>
      </c>
      <c r="R100" s="809">
        <v>24</v>
      </c>
      <c r="S100" s="810">
        <v>1740.4487499999996</v>
      </c>
      <c r="T100" s="811">
        <v>41770.76999999999</v>
      </c>
      <c r="U100" s="809">
        <v>19</v>
      </c>
      <c r="V100" s="810">
        <v>1812.4736842105199</v>
      </c>
      <c r="W100" s="811">
        <v>34436.999999999876</v>
      </c>
      <c r="X100" s="809">
        <v>18</v>
      </c>
      <c r="Y100" s="810">
        <v>1950.2261111111011</v>
      </c>
      <c r="Z100" s="811">
        <v>35104.069999999818</v>
      </c>
      <c r="AA100" s="809">
        <v>19</v>
      </c>
      <c r="AB100" s="810">
        <v>1305.4952631578956</v>
      </c>
      <c r="AC100" s="811">
        <v>24804.410000000018</v>
      </c>
      <c r="AD100" s="809">
        <v>17</v>
      </c>
      <c r="AE100" s="810">
        <v>1808.3805882352956</v>
      </c>
      <c r="AF100" s="811">
        <v>30742.470000000027</v>
      </c>
      <c r="AG100" s="809">
        <v>14</v>
      </c>
      <c r="AH100" s="810">
        <v>2695.1635714285708</v>
      </c>
      <c r="AI100" s="811">
        <v>37732.289999999994</v>
      </c>
      <c r="AJ100" s="809">
        <v>7</v>
      </c>
      <c r="AK100" s="810">
        <v>1008.4914285714258</v>
      </c>
      <c r="AL100" s="811">
        <v>7059.4399999999805</v>
      </c>
      <c r="AM100" s="809">
        <v>13</v>
      </c>
      <c r="AN100" s="810">
        <v>793.13615384615468</v>
      </c>
      <c r="AO100" s="811">
        <v>10310.770000000011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/>
      <c r="G102" s="820"/>
      <c r="H102" s="813"/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230</v>
      </c>
      <c r="D103" s="805">
        <v>434.93060869565113</v>
      </c>
      <c r="E103" s="806">
        <v>100034.03999999976</v>
      </c>
      <c r="F103" s="804">
        <v>10</v>
      </c>
      <c r="G103" s="805">
        <v>687.64799999999798</v>
      </c>
      <c r="H103" s="806">
        <v>6876.4799999999796</v>
      </c>
      <c r="I103" s="804">
        <v>13</v>
      </c>
      <c r="J103" s="805">
        <v>508.23923076923154</v>
      </c>
      <c r="K103" s="806">
        <v>6607.1100000000097</v>
      </c>
      <c r="L103" s="804">
        <v>14</v>
      </c>
      <c r="M103" s="805">
        <v>-135.8328571428593</v>
      </c>
      <c r="N103" s="806">
        <v>-1901.6600000000301</v>
      </c>
      <c r="O103" s="804">
        <v>16</v>
      </c>
      <c r="P103" s="805">
        <v>462.19374999999815</v>
      </c>
      <c r="Q103" s="806">
        <v>7395.0999999999704</v>
      </c>
      <c r="R103" s="804">
        <v>21</v>
      </c>
      <c r="S103" s="805">
        <v>72.271428571431429</v>
      </c>
      <c r="T103" s="806">
        <v>1517.7000000000601</v>
      </c>
      <c r="U103" s="804">
        <v>27</v>
      </c>
      <c r="V103" s="805">
        <v>42.867407407406667</v>
      </c>
      <c r="W103" s="806">
        <v>1157.4199999999801</v>
      </c>
      <c r="X103" s="804">
        <v>20</v>
      </c>
      <c r="Y103" s="805">
        <v>179.12650000000102</v>
      </c>
      <c r="Z103" s="806">
        <v>3582.5300000000202</v>
      </c>
      <c r="AA103" s="804">
        <v>17</v>
      </c>
      <c r="AB103" s="805">
        <v>419.75235294117471</v>
      </c>
      <c r="AC103" s="806">
        <v>7135.78999999997</v>
      </c>
      <c r="AD103" s="804">
        <v>29</v>
      </c>
      <c r="AE103" s="805">
        <v>654.29103448275521</v>
      </c>
      <c r="AF103" s="806">
        <v>18974.4399999999</v>
      </c>
      <c r="AG103" s="804">
        <v>20</v>
      </c>
      <c r="AH103" s="805">
        <v>614.64799999999502</v>
      </c>
      <c r="AI103" s="806">
        <v>12292.959999999901</v>
      </c>
      <c r="AJ103" s="804">
        <v>20</v>
      </c>
      <c r="AK103" s="805">
        <v>1233.664</v>
      </c>
      <c r="AL103" s="806">
        <v>24673.279999999999</v>
      </c>
      <c r="AM103" s="804">
        <v>23</v>
      </c>
      <c r="AN103" s="805">
        <v>509.69086956521738</v>
      </c>
      <c r="AO103" s="806">
        <v>11722.89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360.57232323232313</v>
      </c>
      <c r="E105" s="806">
        <v>71393.319999999978</v>
      </c>
      <c r="F105" s="804"/>
      <c r="G105" s="805">
        <v>305.60833333333335</v>
      </c>
      <c r="H105" s="806">
        <v>3667.3</v>
      </c>
      <c r="I105" s="804"/>
      <c r="J105" s="805">
        <v>667.323076923077</v>
      </c>
      <c r="K105" s="806">
        <v>8675.2000000000007</v>
      </c>
      <c r="L105" s="804"/>
      <c r="M105" s="805">
        <v>109.73357142857142</v>
      </c>
      <c r="N105" s="806">
        <v>1536.27</v>
      </c>
      <c r="O105" s="804"/>
      <c r="P105" s="805">
        <v>469.70678571428573</v>
      </c>
      <c r="Q105" s="806">
        <v>13151.79</v>
      </c>
      <c r="R105" s="804"/>
      <c r="S105" s="805">
        <v>327.625</v>
      </c>
      <c r="T105" s="806">
        <v>7863</v>
      </c>
      <c r="U105" s="804"/>
      <c r="V105" s="805">
        <v>392.41894736842107</v>
      </c>
      <c r="W105" s="806">
        <v>7455.96</v>
      </c>
      <c r="X105" s="804"/>
      <c r="Y105" s="805">
        <v>503.19722222222219</v>
      </c>
      <c r="Z105" s="806">
        <v>9057.5499999999993</v>
      </c>
      <c r="AA105" s="804"/>
      <c r="AB105" s="805">
        <v>17.800526315789472</v>
      </c>
      <c r="AC105" s="806">
        <v>338.21</v>
      </c>
      <c r="AD105" s="804"/>
      <c r="AE105" s="805">
        <v>458.39647058823527</v>
      </c>
      <c r="AF105" s="806">
        <v>7792.74</v>
      </c>
      <c r="AG105" s="804"/>
      <c r="AH105" s="805">
        <v>533.38785714285711</v>
      </c>
      <c r="AI105" s="806">
        <v>7467.43</v>
      </c>
      <c r="AJ105" s="804"/>
      <c r="AK105" s="805">
        <v>203.58714285714285</v>
      </c>
      <c r="AL105" s="806">
        <v>1425.11</v>
      </c>
      <c r="AM105" s="804"/>
      <c r="AN105" s="805">
        <v>227.90461538461463</v>
      </c>
      <c r="AO105" s="806">
        <v>2962.7599999999902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827.98833333333278</v>
      </c>
      <c r="E106" s="806">
        <v>163941.68999999989</v>
      </c>
      <c r="F106" s="804"/>
      <c r="G106" s="805">
        <v>1144.1475</v>
      </c>
      <c r="H106" s="806">
        <v>13729.77</v>
      </c>
      <c r="I106" s="804"/>
      <c r="J106" s="805">
        <v>1323.5146153846154</v>
      </c>
      <c r="K106" s="806">
        <v>17205.689999999999</v>
      </c>
      <c r="L106" s="804"/>
      <c r="M106" s="805">
        <v>499.5</v>
      </c>
      <c r="N106" s="806">
        <v>6993</v>
      </c>
      <c r="O106" s="804"/>
      <c r="P106" s="805">
        <v>654.39285714285711</v>
      </c>
      <c r="Q106" s="806">
        <v>18323</v>
      </c>
      <c r="R106" s="804"/>
      <c r="S106" s="805">
        <v>1132.5679166666666</v>
      </c>
      <c r="T106" s="806">
        <v>27181.63</v>
      </c>
      <c r="U106" s="804"/>
      <c r="V106" s="805">
        <v>558.47368421052636</v>
      </c>
      <c r="W106" s="806">
        <v>10611</v>
      </c>
      <c r="X106" s="804"/>
      <c r="Y106" s="805">
        <v>806.55555555555554</v>
      </c>
      <c r="Z106" s="806">
        <v>14518</v>
      </c>
      <c r="AA106" s="804"/>
      <c r="AB106" s="805">
        <v>535.84210526315792</v>
      </c>
      <c r="AC106" s="806">
        <v>10181</v>
      </c>
      <c r="AD106" s="804"/>
      <c r="AE106" s="805">
        <v>683.78235294117644</v>
      </c>
      <c r="AF106" s="806">
        <v>11624.3</v>
      </c>
      <c r="AG106" s="804"/>
      <c r="AH106" s="805">
        <v>720.94285714285718</v>
      </c>
      <c r="AI106" s="806">
        <v>10093.200000000001</v>
      </c>
      <c r="AJ106" s="804"/>
      <c r="AK106" s="805">
        <v>1359.7142857142858</v>
      </c>
      <c r="AL106" s="806">
        <v>9518</v>
      </c>
      <c r="AM106" s="804"/>
      <c r="AN106" s="805">
        <v>1074.0846153846078</v>
      </c>
      <c r="AO106" s="806">
        <v>13963.0999999999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162.17696969696965</v>
      </c>
      <c r="E107" s="806">
        <v>32111.03999999999</v>
      </c>
      <c r="F107" s="804">
        <v>3</v>
      </c>
      <c r="G107" s="868">
        <v>177.58666666666582</v>
      </c>
      <c r="H107" s="806">
        <v>2131.03999999999</v>
      </c>
      <c r="I107" s="804">
        <v>1</v>
      </c>
      <c r="J107" s="868">
        <v>177.15384615384616</v>
      </c>
      <c r="K107" s="806">
        <v>2303</v>
      </c>
      <c r="L107" s="804">
        <v>5</v>
      </c>
      <c r="M107" s="868">
        <v>211.5</v>
      </c>
      <c r="N107" s="806">
        <v>2961</v>
      </c>
      <c r="O107" s="804">
        <v>12</v>
      </c>
      <c r="P107" s="868">
        <v>152.21428571428572</v>
      </c>
      <c r="Q107" s="806">
        <v>4262</v>
      </c>
      <c r="R107" s="804">
        <v>5</v>
      </c>
      <c r="S107" s="868">
        <v>153.58333333333334</v>
      </c>
      <c r="T107" s="806">
        <v>3686</v>
      </c>
      <c r="U107" s="804">
        <v>5</v>
      </c>
      <c r="V107" s="868">
        <v>69.84210526315789</v>
      </c>
      <c r="W107" s="806">
        <v>1327</v>
      </c>
      <c r="X107" s="804">
        <v>9</v>
      </c>
      <c r="Y107" s="868">
        <v>201.05555555555554</v>
      </c>
      <c r="Z107" s="806">
        <v>3619</v>
      </c>
      <c r="AA107" s="804">
        <v>8</v>
      </c>
      <c r="AB107" s="868">
        <v>173.15789473684211</v>
      </c>
      <c r="AC107" s="806">
        <v>3290</v>
      </c>
      <c r="AD107" s="804">
        <v>7</v>
      </c>
      <c r="AE107" s="868">
        <v>192.23529411764707</v>
      </c>
      <c r="AF107" s="806">
        <v>3268</v>
      </c>
      <c r="AG107" s="804">
        <v>4</v>
      </c>
      <c r="AH107" s="868">
        <v>141</v>
      </c>
      <c r="AI107" s="806">
        <v>1974</v>
      </c>
      <c r="AJ107" s="804">
        <v>3</v>
      </c>
      <c r="AK107" s="868">
        <v>235</v>
      </c>
      <c r="AL107" s="806">
        <v>1645</v>
      </c>
      <c r="AM107" s="804">
        <v>1</v>
      </c>
      <c r="AN107" s="868">
        <v>126.53846153846153</v>
      </c>
      <c r="AO107" s="806">
        <v>1645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198</v>
      </c>
      <c r="D108" s="810">
        <v>1350.7376262626256</v>
      </c>
      <c r="E108" s="811">
        <v>267446.04999999987</v>
      </c>
      <c r="F108" s="809">
        <v>12</v>
      </c>
      <c r="G108" s="810">
        <v>1627.3424999999991</v>
      </c>
      <c r="H108" s="811">
        <v>19528.10999999999</v>
      </c>
      <c r="I108" s="809">
        <v>13</v>
      </c>
      <c r="J108" s="810">
        <v>2167.9915384615383</v>
      </c>
      <c r="K108" s="811">
        <v>28183.89</v>
      </c>
      <c r="L108" s="809">
        <v>14</v>
      </c>
      <c r="M108" s="810">
        <v>820.73357142857151</v>
      </c>
      <c r="N108" s="811">
        <v>11490.27</v>
      </c>
      <c r="O108" s="809">
        <v>28</v>
      </c>
      <c r="P108" s="810">
        <v>1276.3139285714285</v>
      </c>
      <c r="Q108" s="811">
        <v>35736.79</v>
      </c>
      <c r="R108" s="809">
        <v>24</v>
      </c>
      <c r="S108" s="810">
        <v>1613.7762500000001</v>
      </c>
      <c r="T108" s="811">
        <v>38730.630000000005</v>
      </c>
      <c r="U108" s="809">
        <v>19</v>
      </c>
      <c r="V108" s="810">
        <v>1020.7347368421052</v>
      </c>
      <c r="W108" s="811">
        <v>19393.96</v>
      </c>
      <c r="X108" s="809">
        <v>18</v>
      </c>
      <c r="Y108" s="810">
        <v>1510.8083333333334</v>
      </c>
      <c r="Z108" s="811">
        <v>27194.55</v>
      </c>
      <c r="AA108" s="809">
        <v>19</v>
      </c>
      <c r="AB108" s="810">
        <v>726.8005263157894</v>
      </c>
      <c r="AC108" s="811">
        <v>13809.21</v>
      </c>
      <c r="AD108" s="809">
        <v>17</v>
      </c>
      <c r="AE108" s="810">
        <v>1334.4141176470589</v>
      </c>
      <c r="AF108" s="811">
        <v>22685.040000000001</v>
      </c>
      <c r="AG108" s="809">
        <v>14</v>
      </c>
      <c r="AH108" s="810">
        <v>1395.3307142857143</v>
      </c>
      <c r="AI108" s="811">
        <v>19534.63</v>
      </c>
      <c r="AJ108" s="809">
        <v>7</v>
      </c>
      <c r="AK108" s="810">
        <v>1798.3014285714287</v>
      </c>
      <c r="AL108" s="811">
        <v>12588.11</v>
      </c>
      <c r="AM108" s="809">
        <v>13</v>
      </c>
      <c r="AN108" s="810">
        <v>1428.527692307684</v>
      </c>
      <c r="AO108" s="811">
        <v>18570.859999999891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428</v>
      </c>
      <c r="D111" s="823">
        <v>1668.9284112149514</v>
      </c>
      <c r="E111" s="824">
        <v>714301.35999999917</v>
      </c>
      <c r="F111" s="822">
        <v>22</v>
      </c>
      <c r="G111" s="823">
        <v>2416.0709090909072</v>
      </c>
      <c r="H111" s="824">
        <v>53153.559999999961</v>
      </c>
      <c r="I111" s="822">
        <v>26</v>
      </c>
      <c r="J111" s="823">
        <v>2224.8969230769194</v>
      </c>
      <c r="K111" s="824">
        <v>57847.319999999905</v>
      </c>
      <c r="L111" s="822">
        <v>28</v>
      </c>
      <c r="M111" s="823">
        <v>1644.7939285714274</v>
      </c>
      <c r="N111" s="824">
        <v>46054.229999999967</v>
      </c>
      <c r="O111" s="822">
        <v>44</v>
      </c>
      <c r="P111" s="823">
        <v>1857.2961363636311</v>
      </c>
      <c r="Q111" s="824">
        <v>81721.029999999766</v>
      </c>
      <c r="R111" s="822">
        <v>45</v>
      </c>
      <c r="S111" s="823">
        <v>1822.6466666666677</v>
      </c>
      <c r="T111" s="824">
        <v>82019.100000000049</v>
      </c>
      <c r="U111" s="822">
        <v>46</v>
      </c>
      <c r="V111" s="823">
        <v>1195.3995652173883</v>
      </c>
      <c r="W111" s="824">
        <v>54988.379999999859</v>
      </c>
      <c r="X111" s="822">
        <v>38</v>
      </c>
      <c r="Y111" s="823">
        <v>1733.7144736842063</v>
      </c>
      <c r="Z111" s="824">
        <v>65881.149999999834</v>
      </c>
      <c r="AA111" s="822">
        <v>36</v>
      </c>
      <c r="AB111" s="823">
        <v>1270.8169444444441</v>
      </c>
      <c r="AC111" s="824">
        <v>45749.409999999989</v>
      </c>
      <c r="AD111" s="822">
        <v>46</v>
      </c>
      <c r="AE111" s="823">
        <v>1573.955434782607</v>
      </c>
      <c r="AF111" s="824">
        <v>72401.949999999924</v>
      </c>
      <c r="AG111" s="822">
        <v>34</v>
      </c>
      <c r="AH111" s="823">
        <v>2045.8788235294089</v>
      </c>
      <c r="AI111" s="824">
        <v>69559.879999999903</v>
      </c>
      <c r="AJ111" s="822">
        <v>27</v>
      </c>
      <c r="AK111" s="823">
        <v>1641.5122222222215</v>
      </c>
      <c r="AL111" s="824">
        <v>44320.82999999998</v>
      </c>
      <c r="AM111" s="822">
        <v>36</v>
      </c>
      <c r="AN111" s="823">
        <v>1127.9033333333307</v>
      </c>
      <c r="AO111" s="824">
        <v>40604.519999999902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>
        <v>0.40602423196108123</v>
      </c>
      <c r="G114" s="831">
        <v>1206.7477777777776</v>
      </c>
      <c r="H114" s="813">
        <v>10860.73</v>
      </c>
      <c r="I114" s="812">
        <v>0.28585394373430056</v>
      </c>
      <c r="J114" s="831">
        <v>549.22833333333335</v>
      </c>
      <c r="K114" s="813">
        <v>6590.74</v>
      </c>
      <c r="L114" s="812">
        <v>0.2750354991907446</v>
      </c>
      <c r="M114" s="831">
        <v>1114.3711111111111</v>
      </c>
      <c r="N114" s="813">
        <v>10029.34</v>
      </c>
      <c r="O114" s="812">
        <v>0.49916427264251295</v>
      </c>
      <c r="P114" s="831">
        <v>1203.895</v>
      </c>
      <c r="Q114" s="813">
        <v>19262.32</v>
      </c>
      <c r="R114" s="812">
        <v>0.35446557485054747</v>
      </c>
      <c r="S114" s="831">
        <v>779.27894736842097</v>
      </c>
      <c r="T114" s="813">
        <v>14806.3</v>
      </c>
      <c r="U114" s="812">
        <v>0.32761767865958247</v>
      </c>
      <c r="V114" s="831">
        <v>805.86928571428575</v>
      </c>
      <c r="W114" s="813">
        <v>11282.17</v>
      </c>
      <c r="X114" s="812">
        <v>0.30565002861491719</v>
      </c>
      <c r="Y114" s="831">
        <v>1192.1733333333332</v>
      </c>
      <c r="Z114" s="813">
        <v>10729.56</v>
      </c>
      <c r="AA114" s="812">
        <v>0.36976166738092109</v>
      </c>
      <c r="AB114" s="831">
        <v>833.79272727272723</v>
      </c>
      <c r="AC114" s="813">
        <v>9171.7199999999993</v>
      </c>
      <c r="AD114" s="812">
        <v>0.34068310060967749</v>
      </c>
      <c r="AE114" s="831">
        <v>1047.3440000000001</v>
      </c>
      <c r="AF114" s="813">
        <v>10473.44</v>
      </c>
      <c r="AG114" s="812">
        <v>0.24522550844382893</v>
      </c>
      <c r="AH114" s="831">
        <v>925.29200000000003</v>
      </c>
      <c r="AI114" s="813">
        <v>9252.92</v>
      </c>
      <c r="AJ114" s="812">
        <v>0.82817333952835004</v>
      </c>
      <c r="AK114" s="831">
        <v>1461.61</v>
      </c>
      <c r="AL114" s="813">
        <v>5846.44</v>
      </c>
      <c r="AM114" s="812">
        <v>1.037639283972001</v>
      </c>
      <c r="AN114" s="831">
        <v>891.57166666666672</v>
      </c>
      <c r="AO114" s="813">
        <v>10698.86</v>
      </c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0.37196259618102495</v>
      </c>
      <c r="D115" s="833">
        <v>955.58918518518522</v>
      </c>
      <c r="E115" s="834">
        <v>129004.54000000001</v>
      </c>
      <c r="F115" s="873">
        <v>0.55615878853611567</v>
      </c>
      <c r="G115" s="833">
        <v>1206.7477777777776</v>
      </c>
      <c r="H115" s="834">
        <v>10860.73</v>
      </c>
      <c r="I115" s="873">
        <v>0.23384777615864949</v>
      </c>
      <c r="J115" s="833">
        <v>549.22833333333335</v>
      </c>
      <c r="K115" s="834">
        <v>6590.74</v>
      </c>
      <c r="L115" s="873">
        <v>0.8728550329974839</v>
      </c>
      <c r="M115" s="833">
        <v>1114.3711111111111</v>
      </c>
      <c r="N115" s="834">
        <v>10029.34</v>
      </c>
      <c r="O115" s="873">
        <v>0.5390053219665224</v>
      </c>
      <c r="P115" s="833">
        <v>1203.895</v>
      </c>
      <c r="Q115" s="834">
        <v>19262.32</v>
      </c>
      <c r="R115" s="873">
        <v>0.38228915976837963</v>
      </c>
      <c r="S115" s="833">
        <v>779.27894736842097</v>
      </c>
      <c r="T115" s="834">
        <v>14806.3</v>
      </c>
      <c r="U115" s="873">
        <v>0.58173627253021043</v>
      </c>
      <c r="V115" s="833">
        <v>805.86928571428575</v>
      </c>
      <c r="W115" s="834">
        <v>11282.17</v>
      </c>
      <c r="X115" s="873">
        <v>0.39454817233600115</v>
      </c>
      <c r="Y115" s="833">
        <v>1192.1733333333332</v>
      </c>
      <c r="Z115" s="834">
        <v>10729.56</v>
      </c>
      <c r="AA115" s="873">
        <v>0.6641741272672369</v>
      </c>
      <c r="AB115" s="833">
        <v>833.79272727272723</v>
      </c>
      <c r="AC115" s="834">
        <v>9171.7199999999993</v>
      </c>
      <c r="AD115" s="873">
        <v>0.46168928950533039</v>
      </c>
      <c r="AE115" s="833">
        <v>1047.3440000000001</v>
      </c>
      <c r="AF115" s="834">
        <v>10473.44</v>
      </c>
      <c r="AG115" s="873">
        <v>0.47366753299141062</v>
      </c>
      <c r="AH115" s="833">
        <v>925.29200000000003</v>
      </c>
      <c r="AI115" s="834">
        <v>9252.92</v>
      </c>
      <c r="AJ115" s="873">
        <v>0.46444144514148661</v>
      </c>
      <c r="AK115" s="833">
        <v>1461.61</v>
      </c>
      <c r="AL115" s="834">
        <v>5846.44</v>
      </c>
      <c r="AM115" s="873">
        <v>0.57611009937073798</v>
      </c>
      <c r="AN115" s="833">
        <v>891.57166666666672</v>
      </c>
      <c r="AO115" s="834">
        <v>10698.86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0.33020685854212484</v>
      </c>
      <c r="D116" s="836">
        <v>654.16681481481487</v>
      </c>
      <c r="E116" s="837">
        <v>88312.52</v>
      </c>
      <c r="F116" s="835"/>
      <c r="G116" s="836">
        <v>814.93555555555554</v>
      </c>
      <c r="H116" s="837">
        <v>7334.42</v>
      </c>
      <c r="I116" s="835"/>
      <c r="J116" s="836">
        <v>933.90666666666664</v>
      </c>
      <c r="K116" s="837">
        <v>11206.88</v>
      </c>
      <c r="L116" s="835"/>
      <c r="M116" s="836">
        <v>515.12444444444441</v>
      </c>
      <c r="N116" s="837">
        <v>4636.12</v>
      </c>
      <c r="O116" s="835"/>
      <c r="P116" s="836">
        <v>645.20249999999999</v>
      </c>
      <c r="Q116" s="837">
        <v>10323.24</v>
      </c>
      <c r="R116" s="835"/>
      <c r="S116" s="836">
        <v>777.61368421052634</v>
      </c>
      <c r="T116" s="837">
        <v>14774.66</v>
      </c>
      <c r="U116" s="835"/>
      <c r="V116" s="836">
        <v>422.42785714285714</v>
      </c>
      <c r="W116" s="837">
        <v>5913.99</v>
      </c>
      <c r="X116" s="835"/>
      <c r="Y116" s="836">
        <v>950.03000000000009</v>
      </c>
      <c r="Z116" s="837">
        <v>8550.27</v>
      </c>
      <c r="AA116" s="835"/>
      <c r="AB116" s="836">
        <v>335.20090909090908</v>
      </c>
      <c r="AC116" s="837">
        <v>3687.21</v>
      </c>
      <c r="AD116" s="835"/>
      <c r="AE116" s="836">
        <v>686.149</v>
      </c>
      <c r="AF116" s="837">
        <v>6861.49</v>
      </c>
      <c r="AG116" s="835"/>
      <c r="AH116" s="836">
        <v>555.20600000000002</v>
      </c>
      <c r="AI116" s="837">
        <v>5552.06</v>
      </c>
      <c r="AJ116" s="835"/>
      <c r="AK116" s="836">
        <v>1107.6375</v>
      </c>
      <c r="AL116" s="837">
        <v>4430.55</v>
      </c>
      <c r="AM116" s="835"/>
      <c r="AN116" s="836">
        <v>420.13583333333332</v>
      </c>
      <c r="AO116" s="837">
        <v>5041.63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133.70459259259258</v>
      </c>
      <c r="E117" s="834">
        <v>18050.12</v>
      </c>
      <c r="F117" s="812"/>
      <c r="G117" s="833">
        <v>111.96</v>
      </c>
      <c r="H117" s="834">
        <v>1007.64</v>
      </c>
      <c r="I117" s="812"/>
      <c r="J117" s="833">
        <v>105.55500000000001</v>
      </c>
      <c r="K117" s="834">
        <v>1266.6600000000001</v>
      </c>
      <c r="L117" s="812"/>
      <c r="M117" s="833">
        <v>141.63444444444445</v>
      </c>
      <c r="N117" s="834">
        <v>1274.71</v>
      </c>
      <c r="O117" s="812"/>
      <c r="P117" s="833">
        <v>114.02437500000001</v>
      </c>
      <c r="Q117" s="834">
        <v>1824.39</v>
      </c>
      <c r="R117" s="812"/>
      <c r="S117" s="833">
        <v>122.21999999999998</v>
      </c>
      <c r="T117" s="834">
        <v>2322.1799999999998</v>
      </c>
      <c r="U117" s="812"/>
      <c r="V117" s="833">
        <v>168.98714285714286</v>
      </c>
      <c r="W117" s="834">
        <v>2365.8200000000002</v>
      </c>
      <c r="X117" s="812"/>
      <c r="Y117" s="833">
        <v>133.73333333333332</v>
      </c>
      <c r="Z117" s="834">
        <v>1203.5999999999999</v>
      </c>
      <c r="AA117" s="812"/>
      <c r="AB117" s="833">
        <v>174.10454545454547</v>
      </c>
      <c r="AC117" s="834">
        <v>1915.15</v>
      </c>
      <c r="AD117" s="812"/>
      <c r="AE117" s="833">
        <v>132.58199999999999</v>
      </c>
      <c r="AF117" s="834">
        <v>1325.82</v>
      </c>
      <c r="AG117" s="812"/>
      <c r="AH117" s="833">
        <v>135.74100000000001</v>
      </c>
      <c r="AI117" s="834">
        <v>1357.41</v>
      </c>
      <c r="AJ117" s="812"/>
      <c r="AK117" s="833">
        <v>381.89</v>
      </c>
      <c r="AL117" s="834">
        <v>1527.56</v>
      </c>
      <c r="AM117" s="812"/>
      <c r="AN117" s="833">
        <v>54.931666666666665</v>
      </c>
      <c r="AO117" s="834">
        <v>659.18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154.74844444444446</v>
      </c>
      <c r="E118" s="834">
        <v>20891.04</v>
      </c>
      <c r="F118" s="812"/>
      <c r="G118" s="833">
        <v>146.71333333333334</v>
      </c>
      <c r="H118" s="834">
        <v>1320.42</v>
      </c>
      <c r="I118" s="812"/>
      <c r="J118" s="833">
        <v>224.15083333333334</v>
      </c>
      <c r="K118" s="834">
        <v>2689.81</v>
      </c>
      <c r="L118" s="812"/>
      <c r="M118" s="833">
        <v>44.43888888888889</v>
      </c>
      <c r="N118" s="834">
        <v>399.95</v>
      </c>
      <c r="O118" s="812"/>
      <c r="P118" s="833">
        <v>33.393124999999998</v>
      </c>
      <c r="Q118" s="834">
        <v>534.29</v>
      </c>
      <c r="R118" s="812"/>
      <c r="S118" s="833">
        <v>142.65473684210528</v>
      </c>
      <c r="T118" s="834">
        <v>2710.44</v>
      </c>
      <c r="U118" s="812"/>
      <c r="V118" s="833">
        <v>171.35214285714284</v>
      </c>
      <c r="W118" s="834">
        <v>2398.9299999999998</v>
      </c>
      <c r="X118" s="812"/>
      <c r="Y118" s="833">
        <v>98.247777777777785</v>
      </c>
      <c r="Z118" s="834">
        <v>884.23</v>
      </c>
      <c r="AA118" s="812"/>
      <c r="AB118" s="833">
        <v>233.76727272727274</v>
      </c>
      <c r="AC118" s="834">
        <v>2571.44</v>
      </c>
      <c r="AD118" s="812"/>
      <c r="AE118" s="833">
        <v>206.792</v>
      </c>
      <c r="AF118" s="834">
        <v>2067.92</v>
      </c>
      <c r="AG118" s="812"/>
      <c r="AH118" s="833">
        <v>120.249</v>
      </c>
      <c r="AI118" s="834">
        <v>1202.49</v>
      </c>
      <c r="AJ118" s="812"/>
      <c r="AK118" s="833">
        <v>534.1825</v>
      </c>
      <c r="AL118" s="834">
        <v>2136.73</v>
      </c>
      <c r="AM118" s="812"/>
      <c r="AN118" s="833">
        <v>164.5325</v>
      </c>
      <c r="AO118" s="834">
        <v>1974.39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157.65674074074073</v>
      </c>
      <c r="E119" s="837">
        <v>21283.66</v>
      </c>
      <c r="F119" s="838"/>
      <c r="G119" s="836">
        <v>179.29222222222222</v>
      </c>
      <c r="H119" s="837">
        <v>1613.63</v>
      </c>
      <c r="I119" s="838"/>
      <c r="J119" s="836">
        <v>136.42750000000001</v>
      </c>
      <c r="K119" s="837">
        <v>1637.13</v>
      </c>
      <c r="L119" s="838"/>
      <c r="M119" s="836">
        <v>181.04777777777778</v>
      </c>
      <c r="N119" s="837">
        <v>1629.43</v>
      </c>
      <c r="O119" s="838"/>
      <c r="P119" s="836">
        <v>113.71062499999999</v>
      </c>
      <c r="Q119" s="837">
        <v>1819.37</v>
      </c>
      <c r="R119" s="838"/>
      <c r="S119" s="836">
        <v>115.93789473684211</v>
      </c>
      <c r="T119" s="837">
        <v>2202.8200000000002</v>
      </c>
      <c r="U119" s="838"/>
      <c r="V119" s="836">
        <v>115.15857142857143</v>
      </c>
      <c r="W119" s="837">
        <v>1612.22</v>
      </c>
      <c r="X119" s="838"/>
      <c r="Y119" s="836">
        <v>187.36888888888888</v>
      </c>
      <c r="Z119" s="837">
        <v>1686.32</v>
      </c>
      <c r="AA119" s="838"/>
      <c r="AB119" s="836">
        <v>168.68363636363637</v>
      </c>
      <c r="AC119" s="837">
        <v>1855.52</v>
      </c>
      <c r="AD119" s="838"/>
      <c r="AE119" s="836">
        <v>191.98599999999999</v>
      </c>
      <c r="AF119" s="837">
        <v>1919.86</v>
      </c>
      <c r="AG119" s="838"/>
      <c r="AH119" s="836">
        <v>176.327</v>
      </c>
      <c r="AI119" s="837">
        <v>1763.27</v>
      </c>
      <c r="AJ119" s="838"/>
      <c r="AK119" s="836">
        <v>454.59249999999997</v>
      </c>
      <c r="AL119" s="837">
        <v>1818.37</v>
      </c>
      <c r="AM119" s="838"/>
      <c r="AN119" s="836">
        <v>143.81</v>
      </c>
      <c r="AO119" s="837">
        <v>1725.72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593.93740740740725</v>
      </c>
      <c r="E120" s="834">
        <v>80181.549999999974</v>
      </c>
      <c r="F120" s="812"/>
      <c r="G120" s="833">
        <v>696.65777777777782</v>
      </c>
      <c r="H120" s="834">
        <v>6269.92</v>
      </c>
      <c r="I120" s="812"/>
      <c r="J120" s="833">
        <v>703.63666666666666</v>
      </c>
      <c r="K120" s="834">
        <v>8443.64</v>
      </c>
      <c r="L120" s="812"/>
      <c r="M120" s="833">
        <v>740.58888888888896</v>
      </c>
      <c r="N120" s="834">
        <v>6665.3</v>
      </c>
      <c r="O120" s="812"/>
      <c r="P120" s="833">
        <v>369.20749999999998</v>
      </c>
      <c r="Q120" s="834">
        <v>5907.32</v>
      </c>
      <c r="R120" s="812"/>
      <c r="S120" s="833">
        <v>397.54947368421051</v>
      </c>
      <c r="T120" s="834">
        <v>7553.44</v>
      </c>
      <c r="U120" s="812"/>
      <c r="V120" s="833">
        <v>166.07285714285715</v>
      </c>
      <c r="W120" s="834">
        <v>2325.02</v>
      </c>
      <c r="X120" s="812"/>
      <c r="Y120" s="833">
        <v>584.20222222222219</v>
      </c>
      <c r="Z120" s="834">
        <v>5257.82</v>
      </c>
      <c r="AA120" s="812"/>
      <c r="AB120" s="833">
        <v>637.03454545454451</v>
      </c>
      <c r="AC120" s="834">
        <v>7007.3799999999901</v>
      </c>
      <c r="AD120" s="812"/>
      <c r="AE120" s="833">
        <v>680.58600000000001</v>
      </c>
      <c r="AF120" s="834">
        <v>6805.86</v>
      </c>
      <c r="AG120" s="812"/>
      <c r="AH120" s="833">
        <v>905.03099999999995</v>
      </c>
      <c r="AI120" s="834">
        <v>9050.31</v>
      </c>
      <c r="AJ120" s="812"/>
      <c r="AK120" s="833">
        <v>1927.5524999999975</v>
      </c>
      <c r="AL120" s="834">
        <v>7710.20999999999</v>
      </c>
      <c r="AM120" s="812"/>
      <c r="AN120" s="833">
        <v>598.77750000000003</v>
      </c>
      <c r="AO120" s="834">
        <v>7185.33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610.67444444444448</v>
      </c>
      <c r="E121" s="834">
        <v>82441.05</v>
      </c>
      <c r="F121" s="812"/>
      <c r="G121" s="833">
        <v>957.82444444444445</v>
      </c>
      <c r="H121" s="834">
        <v>8620.42</v>
      </c>
      <c r="I121" s="812"/>
      <c r="J121" s="833">
        <v>727.1633333333333</v>
      </c>
      <c r="K121" s="834">
        <v>8725.9599999999991</v>
      </c>
      <c r="L121" s="812"/>
      <c r="M121" s="833">
        <v>1043.3488888888887</v>
      </c>
      <c r="N121" s="834">
        <v>9390.14</v>
      </c>
      <c r="O121" s="812"/>
      <c r="P121" s="833">
        <v>519.43624999999997</v>
      </c>
      <c r="Q121" s="834">
        <v>8310.98</v>
      </c>
      <c r="R121" s="812"/>
      <c r="S121" s="833">
        <v>488.76000000000005</v>
      </c>
      <c r="T121" s="834">
        <v>9286.44</v>
      </c>
      <c r="U121" s="812"/>
      <c r="V121" s="833">
        <v>619.82285714285717</v>
      </c>
      <c r="W121" s="834">
        <v>8677.52</v>
      </c>
      <c r="X121" s="812"/>
      <c r="Y121" s="833">
        <v>669.27555555555546</v>
      </c>
      <c r="Z121" s="834">
        <v>6023.48</v>
      </c>
      <c r="AA121" s="812"/>
      <c r="AB121" s="833">
        <v>475.4</v>
      </c>
      <c r="AC121" s="834">
        <v>5229.3999999999996</v>
      </c>
      <c r="AD121" s="812"/>
      <c r="AE121" s="833">
        <v>472.66199999999998</v>
      </c>
      <c r="AF121" s="834">
        <v>4726.62</v>
      </c>
      <c r="AG121" s="812"/>
      <c r="AH121" s="833">
        <v>489.75900000000001</v>
      </c>
      <c r="AI121" s="834">
        <v>4897.59</v>
      </c>
      <c r="AJ121" s="812"/>
      <c r="AK121" s="833">
        <v>976.88250000000005</v>
      </c>
      <c r="AL121" s="834">
        <v>3907.53</v>
      </c>
      <c r="AM121" s="812"/>
      <c r="AN121" s="833">
        <v>387.08083333333337</v>
      </c>
      <c r="AO121" s="834">
        <v>4644.97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>
        <v>0</v>
      </c>
      <c r="I122" s="874"/>
      <c r="J122" s="833">
        <v>0</v>
      </c>
      <c r="K122" s="821">
        <v>0</v>
      </c>
      <c r="L122" s="874"/>
      <c r="M122" s="833">
        <v>0</v>
      </c>
      <c r="N122" s="821">
        <v>0</v>
      </c>
      <c r="O122" s="874"/>
      <c r="P122" s="833">
        <v>0</v>
      </c>
      <c r="Q122" s="821">
        <v>0</v>
      </c>
      <c r="R122" s="874"/>
      <c r="S122" s="833">
        <v>0</v>
      </c>
      <c r="T122" s="821">
        <v>0</v>
      </c>
      <c r="U122" s="874"/>
      <c r="V122" s="833">
        <v>0</v>
      </c>
      <c r="W122" s="821">
        <v>0</v>
      </c>
      <c r="X122" s="874"/>
      <c r="Y122" s="833">
        <v>0</v>
      </c>
      <c r="Z122" s="821">
        <v>0</v>
      </c>
      <c r="AA122" s="874"/>
      <c r="AB122" s="833">
        <v>0</v>
      </c>
      <c r="AC122" s="821">
        <v>0</v>
      </c>
      <c r="AD122" s="874"/>
      <c r="AE122" s="833">
        <v>0</v>
      </c>
      <c r="AF122" s="821">
        <v>0</v>
      </c>
      <c r="AG122" s="874"/>
      <c r="AH122" s="833">
        <v>0</v>
      </c>
      <c r="AI122" s="821">
        <v>0</v>
      </c>
      <c r="AJ122" s="874"/>
      <c r="AK122" s="833">
        <v>0</v>
      </c>
      <c r="AL122" s="821">
        <v>0</v>
      </c>
      <c r="AM122" s="874"/>
      <c r="AN122" s="833">
        <v>0</v>
      </c>
      <c r="AO122" s="821">
        <v>0</v>
      </c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>
        <v>0</v>
      </c>
      <c r="I123" s="874"/>
      <c r="J123" s="833">
        <v>0</v>
      </c>
      <c r="K123" s="821">
        <v>0</v>
      </c>
      <c r="L123" s="874"/>
      <c r="M123" s="833">
        <v>0</v>
      </c>
      <c r="N123" s="821">
        <v>0</v>
      </c>
      <c r="O123" s="874"/>
      <c r="P123" s="833">
        <v>0</v>
      </c>
      <c r="Q123" s="821">
        <v>0</v>
      </c>
      <c r="R123" s="874"/>
      <c r="S123" s="833">
        <v>0</v>
      </c>
      <c r="T123" s="821">
        <v>0</v>
      </c>
      <c r="U123" s="874"/>
      <c r="V123" s="833">
        <v>0</v>
      </c>
      <c r="W123" s="821">
        <v>0</v>
      </c>
      <c r="X123" s="874"/>
      <c r="Y123" s="833">
        <v>0</v>
      </c>
      <c r="Z123" s="821">
        <v>0</v>
      </c>
      <c r="AA123" s="874"/>
      <c r="AB123" s="833">
        <v>0</v>
      </c>
      <c r="AC123" s="821">
        <v>0</v>
      </c>
      <c r="AD123" s="874"/>
      <c r="AE123" s="833">
        <v>0</v>
      </c>
      <c r="AF123" s="821">
        <v>0</v>
      </c>
      <c r="AG123" s="874"/>
      <c r="AH123" s="833">
        <v>0</v>
      </c>
      <c r="AI123" s="821">
        <v>0</v>
      </c>
      <c r="AJ123" s="874"/>
      <c r="AK123" s="833">
        <v>0</v>
      </c>
      <c r="AL123" s="821">
        <v>0</v>
      </c>
      <c r="AM123" s="874"/>
      <c r="AN123" s="833">
        <v>0</v>
      </c>
      <c r="AO123" s="821">
        <v>0</v>
      </c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 t="s">
        <v>108</v>
      </c>
      <c r="G124" s="833">
        <v>0</v>
      </c>
      <c r="H124" s="821">
        <v>0</v>
      </c>
      <c r="I124" s="874" t="s">
        <v>108</v>
      </c>
      <c r="J124" s="833">
        <v>0</v>
      </c>
      <c r="K124" s="821">
        <v>0</v>
      </c>
      <c r="L124" s="874" t="s">
        <v>108</v>
      </c>
      <c r="M124" s="833">
        <v>0</v>
      </c>
      <c r="N124" s="821">
        <v>0</v>
      </c>
      <c r="O124" s="874" t="s">
        <v>108</v>
      </c>
      <c r="P124" s="833">
        <v>0</v>
      </c>
      <c r="Q124" s="821">
        <v>0</v>
      </c>
      <c r="R124" s="874"/>
      <c r="S124" s="833">
        <v>0</v>
      </c>
      <c r="T124" s="821">
        <v>0</v>
      </c>
      <c r="U124" s="874"/>
      <c r="V124" s="833">
        <v>0</v>
      </c>
      <c r="W124" s="821">
        <v>0</v>
      </c>
      <c r="X124" s="874"/>
      <c r="Y124" s="833">
        <v>0</v>
      </c>
      <c r="Z124" s="821">
        <v>0</v>
      </c>
      <c r="AA124" s="874"/>
      <c r="AB124" s="833">
        <v>0</v>
      </c>
      <c r="AC124" s="821">
        <v>0</v>
      </c>
      <c r="AD124" s="874"/>
      <c r="AE124" s="833">
        <v>0</v>
      </c>
      <c r="AF124" s="821">
        <v>0</v>
      </c>
      <c r="AG124" s="874"/>
      <c r="AH124" s="833">
        <v>0</v>
      </c>
      <c r="AI124" s="821">
        <v>0</v>
      </c>
      <c r="AJ124" s="874"/>
      <c r="AK124" s="833">
        <v>0</v>
      </c>
      <c r="AL124" s="821">
        <v>0</v>
      </c>
      <c r="AM124" s="874"/>
      <c r="AN124" s="833">
        <v>0</v>
      </c>
      <c r="AO124" s="821">
        <v>0</v>
      </c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0.61621677438777445</v>
      </c>
      <c r="E125" s="841">
        <v>440164.48</v>
      </c>
      <c r="F125" s="839"/>
      <c r="G125" s="840"/>
      <c r="H125" s="841">
        <v>37027.18</v>
      </c>
      <c r="I125" s="839"/>
      <c r="J125" s="840"/>
      <c r="K125" s="841">
        <v>40560.82</v>
      </c>
      <c r="L125" s="839"/>
      <c r="M125" s="840"/>
      <c r="N125" s="841">
        <v>34024.99</v>
      </c>
      <c r="O125" s="839"/>
      <c r="P125" s="840"/>
      <c r="Q125" s="841">
        <v>47981.91</v>
      </c>
      <c r="R125" s="839" t="s">
        <v>108</v>
      </c>
      <c r="S125" s="840"/>
      <c r="T125" s="841">
        <v>53656.28</v>
      </c>
      <c r="U125" s="839" t="s">
        <v>108</v>
      </c>
      <c r="V125" s="840"/>
      <c r="W125" s="841">
        <v>34575.67</v>
      </c>
      <c r="X125" s="839" t="s">
        <v>108</v>
      </c>
      <c r="Y125" s="840"/>
      <c r="Z125" s="841">
        <v>34335.279999999999</v>
      </c>
      <c r="AA125" s="839" t="s">
        <v>108</v>
      </c>
      <c r="AB125" s="840"/>
      <c r="AC125" s="841">
        <v>31437.82</v>
      </c>
      <c r="AD125" s="839" t="s">
        <v>108</v>
      </c>
      <c r="AE125" s="840"/>
      <c r="AF125" s="841">
        <v>34181.01</v>
      </c>
      <c r="AG125" s="839" t="s">
        <v>108</v>
      </c>
      <c r="AH125" s="840"/>
      <c r="AI125" s="841">
        <v>33076.050000000003</v>
      </c>
      <c r="AJ125" s="839" t="s">
        <v>108</v>
      </c>
      <c r="AK125" s="840"/>
      <c r="AL125" s="841">
        <v>27377.389999999901</v>
      </c>
      <c r="AM125" s="839" t="s">
        <v>108</v>
      </c>
      <c r="AN125" s="840"/>
      <c r="AO125" s="841">
        <v>31930.080000000002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49528.989999999991</v>
      </c>
      <c r="F126" s="812"/>
      <c r="G126" s="820"/>
      <c r="H126" s="834">
        <v>4781.29</v>
      </c>
      <c r="I126" s="812"/>
      <c r="J126" s="820"/>
      <c r="K126" s="834">
        <v>4353.5600000000004</v>
      </c>
      <c r="L126" s="812"/>
      <c r="M126" s="820"/>
      <c r="N126" s="834">
        <v>3729.15</v>
      </c>
      <c r="O126" s="812"/>
      <c r="P126" s="820"/>
      <c r="Q126" s="834">
        <v>4165.3100000000004</v>
      </c>
      <c r="R126" s="812"/>
      <c r="S126" s="820"/>
      <c r="T126" s="834">
        <v>4429.1499999999996</v>
      </c>
      <c r="U126" s="812"/>
      <c r="V126" s="820"/>
      <c r="W126" s="834">
        <v>2909.35</v>
      </c>
      <c r="X126" s="812"/>
      <c r="Y126" s="820"/>
      <c r="Z126" s="834">
        <v>3986.27</v>
      </c>
      <c r="AA126" s="812"/>
      <c r="AB126" s="820"/>
      <c r="AC126" s="834">
        <v>3707.48</v>
      </c>
      <c r="AD126" s="812"/>
      <c r="AE126" s="820"/>
      <c r="AF126" s="834">
        <v>4551.6499999999996</v>
      </c>
      <c r="AG126" s="812"/>
      <c r="AH126" s="820"/>
      <c r="AI126" s="834">
        <v>5053.7700000000004</v>
      </c>
      <c r="AJ126" s="812"/>
      <c r="AK126" s="820"/>
      <c r="AL126" s="834">
        <v>4843.63</v>
      </c>
      <c r="AM126" s="812"/>
      <c r="AN126" s="820"/>
      <c r="AO126" s="834">
        <v>3018.38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35693.83</v>
      </c>
      <c r="F127" s="812"/>
      <c r="G127" s="820"/>
      <c r="H127" s="834">
        <v>2662.11</v>
      </c>
      <c r="I127" s="812"/>
      <c r="J127" s="820"/>
      <c r="K127" s="834">
        <v>2813.11</v>
      </c>
      <c r="L127" s="812"/>
      <c r="M127" s="820"/>
      <c r="N127" s="834">
        <v>2687.5</v>
      </c>
      <c r="O127" s="812"/>
      <c r="P127" s="820"/>
      <c r="Q127" s="834">
        <v>2612.09</v>
      </c>
      <c r="R127" s="812"/>
      <c r="S127" s="820"/>
      <c r="T127" s="834">
        <v>3118.35</v>
      </c>
      <c r="U127" s="812"/>
      <c r="V127" s="820"/>
      <c r="W127" s="834">
        <v>2701.3</v>
      </c>
      <c r="X127" s="812"/>
      <c r="Y127" s="820"/>
      <c r="Z127" s="834">
        <v>2825.31</v>
      </c>
      <c r="AA127" s="812"/>
      <c r="AB127" s="820"/>
      <c r="AC127" s="834">
        <v>2767.11</v>
      </c>
      <c r="AD127" s="812"/>
      <c r="AE127" s="820"/>
      <c r="AF127" s="834">
        <v>2836.3</v>
      </c>
      <c r="AG127" s="812"/>
      <c r="AH127" s="820"/>
      <c r="AI127" s="834">
        <v>3054.3</v>
      </c>
      <c r="AJ127" s="812"/>
      <c r="AK127" s="820"/>
      <c r="AL127" s="834">
        <v>3812.17</v>
      </c>
      <c r="AM127" s="812"/>
      <c r="AN127" s="820"/>
      <c r="AO127" s="834">
        <v>3804.18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47807.299999999996</v>
      </c>
      <c r="F133" s="812"/>
      <c r="G133" s="820"/>
      <c r="H133" s="834">
        <v>5487.62</v>
      </c>
      <c r="I133" s="812"/>
      <c r="J133" s="820"/>
      <c r="K133" s="834">
        <v>3748.36</v>
      </c>
      <c r="L133" s="812"/>
      <c r="M133" s="820"/>
      <c r="N133" s="834">
        <v>3075.37</v>
      </c>
      <c r="O133" s="812"/>
      <c r="P133" s="820"/>
      <c r="Q133" s="834">
        <v>2091.5100000000002</v>
      </c>
      <c r="R133" s="812"/>
      <c r="S133" s="820"/>
      <c r="T133" s="834">
        <v>4551.4399999999996</v>
      </c>
      <c r="U133" s="812"/>
      <c r="V133" s="820"/>
      <c r="W133" s="834">
        <v>5315.87</v>
      </c>
      <c r="X133" s="812"/>
      <c r="Y133" s="820"/>
      <c r="Z133" s="834">
        <v>3627.13</v>
      </c>
      <c r="AA133" s="812"/>
      <c r="AB133" s="820"/>
      <c r="AC133" s="834">
        <v>2408.23</v>
      </c>
      <c r="AD133" s="812"/>
      <c r="AE133" s="820"/>
      <c r="AF133" s="834">
        <v>3250.99</v>
      </c>
      <c r="AG133" s="812"/>
      <c r="AH133" s="820"/>
      <c r="AI133" s="834">
        <v>3482.38</v>
      </c>
      <c r="AJ133" s="812"/>
      <c r="AK133" s="820"/>
      <c r="AL133" s="834">
        <v>2451.91</v>
      </c>
      <c r="AM133" s="812"/>
      <c r="AN133" s="820"/>
      <c r="AO133" s="834">
        <v>8316.49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40705.270000000004</v>
      </c>
      <c r="F134" s="842"/>
      <c r="G134" s="843"/>
      <c r="H134" s="844">
        <v>4114.8</v>
      </c>
      <c r="I134" s="842"/>
      <c r="J134" s="843"/>
      <c r="K134" s="844">
        <v>3887.38</v>
      </c>
      <c r="L134" s="842"/>
      <c r="M134" s="843"/>
      <c r="N134" s="844">
        <v>3796.64</v>
      </c>
      <c r="O134" s="842"/>
      <c r="P134" s="843"/>
      <c r="Q134" s="844">
        <v>4566.9399999999996</v>
      </c>
      <c r="R134" s="842"/>
      <c r="S134" s="843"/>
      <c r="T134" s="844">
        <v>6104.86</v>
      </c>
      <c r="U134" s="842"/>
      <c r="V134" s="843"/>
      <c r="W134" s="844">
        <v>3396.29</v>
      </c>
      <c r="X134" s="842"/>
      <c r="Y134" s="843"/>
      <c r="Z134" s="844">
        <v>2567.4</v>
      </c>
      <c r="AA134" s="842"/>
      <c r="AB134" s="843"/>
      <c r="AC134" s="844">
        <v>2082.88</v>
      </c>
      <c r="AD134" s="842"/>
      <c r="AE134" s="843"/>
      <c r="AF134" s="844">
        <v>2007.03</v>
      </c>
      <c r="AG134" s="842"/>
      <c r="AH134" s="843"/>
      <c r="AI134" s="844">
        <v>2573.73</v>
      </c>
      <c r="AJ134" s="842"/>
      <c r="AK134" s="843"/>
      <c r="AL134" s="844">
        <v>2303.4</v>
      </c>
      <c r="AM134" s="842"/>
      <c r="AN134" s="843"/>
      <c r="AO134" s="844">
        <v>3303.92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26248.959999999999</v>
      </c>
      <c r="F135" s="812"/>
      <c r="G135" s="820"/>
      <c r="H135" s="834">
        <v>1894.1</v>
      </c>
      <c r="I135" s="812"/>
      <c r="J135" s="820"/>
      <c r="K135" s="834">
        <v>1900.99</v>
      </c>
      <c r="L135" s="812"/>
      <c r="M135" s="820"/>
      <c r="N135" s="834">
        <v>1688.9</v>
      </c>
      <c r="O135" s="812"/>
      <c r="P135" s="820"/>
      <c r="Q135" s="834">
        <v>1987.58</v>
      </c>
      <c r="R135" s="812"/>
      <c r="S135" s="820"/>
      <c r="T135" s="834">
        <v>2606.46</v>
      </c>
      <c r="U135" s="812"/>
      <c r="V135" s="820"/>
      <c r="W135" s="834">
        <v>2149.19</v>
      </c>
      <c r="X135" s="812"/>
      <c r="Y135" s="820"/>
      <c r="Z135" s="834">
        <v>2097.0100000000002</v>
      </c>
      <c r="AA135" s="812"/>
      <c r="AB135" s="820"/>
      <c r="AC135" s="834">
        <v>2343.4899999999998</v>
      </c>
      <c r="AD135" s="812"/>
      <c r="AE135" s="820"/>
      <c r="AF135" s="834">
        <v>2020.73</v>
      </c>
      <c r="AG135" s="812"/>
      <c r="AH135" s="820"/>
      <c r="AI135" s="834">
        <v>2765.28</v>
      </c>
      <c r="AJ135" s="812"/>
      <c r="AK135" s="820"/>
      <c r="AL135" s="834">
        <v>1663.16</v>
      </c>
      <c r="AM135" s="812"/>
      <c r="AN135" s="820"/>
      <c r="AO135" s="834">
        <v>3132.07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4187.5700000000006</v>
      </c>
      <c r="F136" s="812"/>
      <c r="G136" s="820"/>
      <c r="H136" s="834">
        <v>497.9</v>
      </c>
      <c r="I136" s="812"/>
      <c r="J136" s="820"/>
      <c r="K136" s="834">
        <v>619.66999999999996</v>
      </c>
      <c r="L136" s="812"/>
      <c r="M136" s="820"/>
      <c r="N136" s="834">
        <v>445.53</v>
      </c>
      <c r="O136" s="812"/>
      <c r="P136" s="820"/>
      <c r="Q136" s="834">
        <v>590.58000000000004</v>
      </c>
      <c r="R136" s="812"/>
      <c r="S136" s="820"/>
      <c r="T136" s="834">
        <v>871.7</v>
      </c>
      <c r="U136" s="812"/>
      <c r="V136" s="820"/>
      <c r="W136" s="834">
        <v>637.46</v>
      </c>
      <c r="X136" s="812"/>
      <c r="Y136" s="820"/>
      <c r="Z136" s="834">
        <v>129.19</v>
      </c>
      <c r="AA136" s="812"/>
      <c r="AB136" s="820"/>
      <c r="AC136" s="834">
        <v>133.01</v>
      </c>
      <c r="AD136" s="812"/>
      <c r="AE136" s="820"/>
      <c r="AF136" s="834">
        <v>65.36</v>
      </c>
      <c r="AG136" s="812"/>
      <c r="AH136" s="820"/>
      <c r="AI136" s="834">
        <v>48.92</v>
      </c>
      <c r="AJ136" s="812"/>
      <c r="AK136" s="820"/>
      <c r="AL136" s="834">
        <v>66.73</v>
      </c>
      <c r="AM136" s="812"/>
      <c r="AN136" s="820"/>
      <c r="AO136" s="834">
        <v>81.52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/>
      <c r="B137" s="557"/>
      <c r="C137" s="838"/>
      <c r="D137" s="845"/>
      <c r="E137" s="846"/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0.3330245934293059</v>
      </c>
      <c r="E138" s="841">
        <v>237879.92</v>
      </c>
      <c r="F138" s="839"/>
      <c r="G138" s="840"/>
      <c r="H138" s="841">
        <v>22246.82</v>
      </c>
      <c r="I138" s="839"/>
      <c r="J138" s="840"/>
      <c r="K138" s="841">
        <v>20132.07</v>
      </c>
      <c r="L138" s="839"/>
      <c r="M138" s="840"/>
      <c r="N138" s="841">
        <v>18232.09</v>
      </c>
      <c r="O138" s="839"/>
      <c r="P138" s="840"/>
      <c r="Q138" s="841">
        <v>18823.009999999998</v>
      </c>
      <c r="R138" s="839"/>
      <c r="S138" s="840"/>
      <c r="T138" s="841">
        <v>24490.959999999999</v>
      </c>
      <c r="U138" s="839"/>
      <c r="V138" s="840"/>
      <c r="W138" s="841">
        <v>19918.46</v>
      </c>
      <c r="X138" s="839"/>
      <c r="Y138" s="840"/>
      <c r="Z138" s="841">
        <v>18041.309999999899</v>
      </c>
      <c r="AA138" s="839"/>
      <c r="AB138" s="840"/>
      <c r="AC138" s="841">
        <v>16251.2</v>
      </c>
      <c r="AD138" s="839"/>
      <c r="AE138" s="840"/>
      <c r="AF138" s="841">
        <v>17541.060000000001</v>
      </c>
      <c r="AG138" s="839"/>
      <c r="AH138" s="840"/>
      <c r="AI138" s="841">
        <v>19787.379999999899</v>
      </c>
      <c r="AJ138" s="839"/>
      <c r="AK138" s="840"/>
      <c r="AL138" s="841">
        <v>17950</v>
      </c>
      <c r="AM138" s="839"/>
      <c r="AN138" s="840"/>
      <c r="AO138" s="841">
        <v>24465.56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13567.79</v>
      </c>
      <c r="F141" s="847"/>
      <c r="G141" s="848"/>
      <c r="H141" s="849">
        <v>1045.51</v>
      </c>
      <c r="I141" s="847"/>
      <c r="J141" s="848"/>
      <c r="K141" s="849">
        <v>1040</v>
      </c>
      <c r="L141" s="847"/>
      <c r="M141" s="848"/>
      <c r="N141" s="849">
        <v>1181.71</v>
      </c>
      <c r="O141" s="847"/>
      <c r="P141" s="848"/>
      <c r="Q141" s="849">
        <v>1083.7</v>
      </c>
      <c r="R141" s="847"/>
      <c r="S141" s="848"/>
      <c r="T141" s="849">
        <v>1261.03</v>
      </c>
      <c r="U141" s="847"/>
      <c r="V141" s="848"/>
      <c r="W141" s="849">
        <v>1088.93</v>
      </c>
      <c r="X141" s="847"/>
      <c r="Y141" s="848"/>
      <c r="Z141" s="849">
        <v>976.6</v>
      </c>
      <c r="AA141" s="847"/>
      <c r="AB141" s="848"/>
      <c r="AC141" s="849">
        <v>1124.26</v>
      </c>
      <c r="AD141" s="847"/>
      <c r="AE141" s="848"/>
      <c r="AF141" s="849">
        <v>867.37</v>
      </c>
      <c r="AG141" s="847"/>
      <c r="AH141" s="848"/>
      <c r="AI141" s="849">
        <v>1075.23</v>
      </c>
      <c r="AJ141" s="847"/>
      <c r="AK141" s="848"/>
      <c r="AL141" s="849">
        <v>1118.01</v>
      </c>
      <c r="AM141" s="847"/>
      <c r="AN141" s="848"/>
      <c r="AO141" s="849">
        <v>1705.44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18005.049999999996</v>
      </c>
      <c r="F142" s="812"/>
      <c r="G142" s="820"/>
      <c r="H142" s="834">
        <v>1332.2</v>
      </c>
      <c r="I142" s="812"/>
      <c r="J142" s="820"/>
      <c r="K142" s="834">
        <v>1248.05</v>
      </c>
      <c r="L142" s="812"/>
      <c r="M142" s="820"/>
      <c r="N142" s="834">
        <v>1248.05</v>
      </c>
      <c r="O142" s="812"/>
      <c r="P142" s="820"/>
      <c r="Q142" s="834">
        <v>1295.0999999999999</v>
      </c>
      <c r="R142" s="812"/>
      <c r="S142" s="820"/>
      <c r="T142" s="834">
        <v>1819.08</v>
      </c>
      <c r="U142" s="812"/>
      <c r="V142" s="820"/>
      <c r="W142" s="834">
        <v>1618.64</v>
      </c>
      <c r="X142" s="812"/>
      <c r="Y142" s="820"/>
      <c r="Z142" s="834">
        <v>1615.42</v>
      </c>
      <c r="AA142" s="812"/>
      <c r="AB142" s="820"/>
      <c r="AC142" s="834">
        <v>1627.09</v>
      </c>
      <c r="AD142" s="812"/>
      <c r="AE142" s="820"/>
      <c r="AF142" s="834">
        <v>1472.05</v>
      </c>
      <c r="AG142" s="812"/>
      <c r="AH142" s="820"/>
      <c r="AI142" s="834">
        <v>1689.63</v>
      </c>
      <c r="AJ142" s="812"/>
      <c r="AK142" s="820"/>
      <c r="AL142" s="834">
        <v>1497.55</v>
      </c>
      <c r="AM142" s="812"/>
      <c r="AN142" s="820"/>
      <c r="AO142" s="834">
        <v>1542.19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2536.6299999999997</v>
      </c>
      <c r="F143" s="812"/>
      <c r="G143" s="820"/>
      <c r="H143" s="834">
        <v>149.66</v>
      </c>
      <c r="I143" s="812"/>
      <c r="J143" s="820"/>
      <c r="K143" s="834">
        <v>80.31</v>
      </c>
      <c r="L143" s="812"/>
      <c r="M143" s="820"/>
      <c r="N143" s="834">
        <v>383.93</v>
      </c>
      <c r="O143" s="812"/>
      <c r="P143" s="820"/>
      <c r="Q143" s="834">
        <v>394.46</v>
      </c>
      <c r="R143" s="812"/>
      <c r="S143" s="820"/>
      <c r="T143" s="834">
        <v>181.56</v>
      </c>
      <c r="U143" s="812"/>
      <c r="V143" s="820"/>
      <c r="W143" s="834">
        <v>82.33</v>
      </c>
      <c r="X143" s="812"/>
      <c r="Y143" s="820"/>
      <c r="Z143" s="834">
        <v>-291.69</v>
      </c>
      <c r="AA143" s="812"/>
      <c r="AB143" s="820"/>
      <c r="AC143" s="834">
        <v>275.66000000000003</v>
      </c>
      <c r="AD143" s="812"/>
      <c r="AE143" s="820"/>
      <c r="AF143" s="834">
        <v>191.14</v>
      </c>
      <c r="AG143" s="812"/>
      <c r="AH143" s="820"/>
      <c r="AI143" s="834">
        <v>224.01</v>
      </c>
      <c r="AJ143" s="812"/>
      <c r="AK143" s="820"/>
      <c r="AL143" s="834">
        <v>70.63</v>
      </c>
      <c r="AM143" s="812"/>
      <c r="AN143" s="820"/>
      <c r="AO143" s="834">
        <v>794.63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10856.239999999998</v>
      </c>
      <c r="F144" s="847"/>
      <c r="G144" s="848"/>
      <c r="H144" s="849">
        <v>715.35</v>
      </c>
      <c r="I144" s="847"/>
      <c r="J144" s="848"/>
      <c r="K144" s="849">
        <v>746.21</v>
      </c>
      <c r="L144" s="847"/>
      <c r="M144" s="848"/>
      <c r="N144" s="849">
        <v>648.87</v>
      </c>
      <c r="O144" s="847"/>
      <c r="P144" s="848"/>
      <c r="Q144" s="849">
        <v>758.85</v>
      </c>
      <c r="R144" s="847"/>
      <c r="S144" s="848"/>
      <c r="T144" s="849">
        <v>898.12</v>
      </c>
      <c r="U144" s="847"/>
      <c r="V144" s="848"/>
      <c r="W144" s="849">
        <v>1004.86</v>
      </c>
      <c r="X144" s="847"/>
      <c r="Y144" s="848"/>
      <c r="Z144" s="849">
        <v>938.9</v>
      </c>
      <c r="AA144" s="847"/>
      <c r="AB144" s="848"/>
      <c r="AC144" s="849">
        <v>1043.6199999999999</v>
      </c>
      <c r="AD144" s="847"/>
      <c r="AE144" s="848"/>
      <c r="AF144" s="849">
        <v>1038.4000000000001</v>
      </c>
      <c r="AG144" s="847"/>
      <c r="AH144" s="848"/>
      <c r="AI144" s="849">
        <v>896.26</v>
      </c>
      <c r="AJ144" s="847"/>
      <c r="AK144" s="848"/>
      <c r="AL144" s="849">
        <v>848.97</v>
      </c>
      <c r="AM144" s="847"/>
      <c r="AN144" s="848"/>
      <c r="AO144" s="849">
        <v>1317.83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283.45</v>
      </c>
      <c r="F145" s="812"/>
      <c r="G145" s="820"/>
      <c r="H145" s="834">
        <v>0</v>
      </c>
      <c r="I145" s="812"/>
      <c r="J145" s="820"/>
      <c r="K145" s="834">
        <v>5</v>
      </c>
      <c r="L145" s="812"/>
      <c r="M145" s="820"/>
      <c r="N145" s="834">
        <v>0</v>
      </c>
      <c r="O145" s="812"/>
      <c r="P145" s="820"/>
      <c r="Q145" s="834">
        <v>0</v>
      </c>
      <c r="R145" s="812"/>
      <c r="S145" s="820"/>
      <c r="T145" s="834">
        <v>0</v>
      </c>
      <c r="U145" s="812"/>
      <c r="V145" s="820"/>
      <c r="W145" s="834">
        <v>0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0</v>
      </c>
      <c r="AG145" s="812"/>
      <c r="AH145" s="820"/>
      <c r="AI145" s="834">
        <v>167.94</v>
      </c>
      <c r="AJ145" s="812"/>
      <c r="AK145" s="820"/>
      <c r="AL145" s="834">
        <v>2.4</v>
      </c>
      <c r="AM145" s="812"/>
      <c r="AN145" s="820"/>
      <c r="AO145" s="834">
        <v>108.11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185.07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0</v>
      </c>
      <c r="O146" s="812"/>
      <c r="P146" s="820"/>
      <c r="Q146" s="834">
        <v>0</v>
      </c>
      <c r="R146" s="812"/>
      <c r="S146" s="820"/>
      <c r="T146" s="834">
        <v>0</v>
      </c>
      <c r="U146" s="812"/>
      <c r="V146" s="820"/>
      <c r="W146" s="834">
        <v>17.350000000000001</v>
      </c>
      <c r="X146" s="812"/>
      <c r="Y146" s="820"/>
      <c r="Z146" s="834">
        <v>112.72</v>
      </c>
      <c r="AA146" s="812"/>
      <c r="AB146" s="820"/>
      <c r="AC146" s="834">
        <v>55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1993.16</v>
      </c>
      <c r="F147" s="812"/>
      <c r="G147" s="820"/>
      <c r="H147" s="834">
        <v>248.84</v>
      </c>
      <c r="I147" s="812"/>
      <c r="J147" s="820"/>
      <c r="K147" s="834">
        <v>156.19999999999999</v>
      </c>
      <c r="L147" s="812"/>
      <c r="M147" s="820"/>
      <c r="N147" s="834">
        <v>35.04</v>
      </c>
      <c r="O147" s="812"/>
      <c r="P147" s="820"/>
      <c r="Q147" s="834">
        <v>104.08</v>
      </c>
      <c r="R147" s="812"/>
      <c r="S147" s="820"/>
      <c r="T147" s="834">
        <v>294.20999999999998</v>
      </c>
      <c r="U147" s="812"/>
      <c r="V147" s="820"/>
      <c r="W147" s="834">
        <v>111.73</v>
      </c>
      <c r="X147" s="812"/>
      <c r="Y147" s="820"/>
      <c r="Z147" s="834">
        <v>166.96</v>
      </c>
      <c r="AA147" s="812"/>
      <c r="AB147" s="820"/>
      <c r="AC147" s="834">
        <v>196.62</v>
      </c>
      <c r="AD147" s="812"/>
      <c r="AE147" s="820"/>
      <c r="AF147" s="834">
        <v>74.72</v>
      </c>
      <c r="AG147" s="812"/>
      <c r="AH147" s="820"/>
      <c r="AI147" s="834">
        <v>190.39</v>
      </c>
      <c r="AJ147" s="812"/>
      <c r="AK147" s="820"/>
      <c r="AL147" s="834">
        <v>306.95999999999998</v>
      </c>
      <c r="AM147" s="812"/>
      <c r="AN147" s="820"/>
      <c r="AO147" s="834">
        <v>107.41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1006.4</v>
      </c>
      <c r="F148" s="812"/>
      <c r="G148" s="820"/>
      <c r="H148" s="834">
        <v>74.849999999999994</v>
      </c>
      <c r="I148" s="812"/>
      <c r="J148" s="820"/>
      <c r="K148" s="834">
        <v>74.739999999999995</v>
      </c>
      <c r="L148" s="812"/>
      <c r="M148" s="820"/>
      <c r="N148" s="834">
        <v>93.55</v>
      </c>
      <c r="O148" s="812"/>
      <c r="P148" s="820"/>
      <c r="Q148" s="834">
        <v>81.98</v>
      </c>
      <c r="R148" s="812"/>
      <c r="S148" s="820"/>
      <c r="T148" s="834">
        <v>86.42</v>
      </c>
      <c r="U148" s="812"/>
      <c r="V148" s="820"/>
      <c r="W148" s="834">
        <v>104.99</v>
      </c>
      <c r="X148" s="812"/>
      <c r="Y148" s="820"/>
      <c r="Z148" s="834">
        <v>74.790000000000006</v>
      </c>
      <c r="AA148" s="812"/>
      <c r="AB148" s="820"/>
      <c r="AC148" s="834">
        <v>82.67</v>
      </c>
      <c r="AD148" s="812"/>
      <c r="AE148" s="820"/>
      <c r="AF148" s="834">
        <v>75.25</v>
      </c>
      <c r="AG148" s="812"/>
      <c r="AH148" s="820"/>
      <c r="AI148" s="834">
        <v>76.97</v>
      </c>
      <c r="AJ148" s="812"/>
      <c r="AK148" s="820"/>
      <c r="AL148" s="834">
        <v>118.1</v>
      </c>
      <c r="AM148" s="812"/>
      <c r="AN148" s="820"/>
      <c r="AO148" s="834">
        <v>62.09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1784.6299999999997</v>
      </c>
      <c r="F149" s="812"/>
      <c r="G149" s="820"/>
      <c r="H149" s="834">
        <v>112.66</v>
      </c>
      <c r="I149" s="812"/>
      <c r="J149" s="820"/>
      <c r="K149" s="834">
        <v>195.37</v>
      </c>
      <c r="L149" s="812"/>
      <c r="M149" s="820"/>
      <c r="N149" s="834">
        <v>71.19</v>
      </c>
      <c r="O149" s="812"/>
      <c r="P149" s="820"/>
      <c r="Q149" s="834">
        <v>96.34</v>
      </c>
      <c r="R149" s="812"/>
      <c r="S149" s="820"/>
      <c r="T149" s="834">
        <v>317.89</v>
      </c>
      <c r="U149" s="812"/>
      <c r="V149" s="820"/>
      <c r="W149" s="834">
        <v>302.58999999999997</v>
      </c>
      <c r="X149" s="812"/>
      <c r="Y149" s="820"/>
      <c r="Z149" s="834">
        <v>178.6</v>
      </c>
      <c r="AA149" s="812"/>
      <c r="AB149" s="820"/>
      <c r="AC149" s="834">
        <v>44.24</v>
      </c>
      <c r="AD149" s="812"/>
      <c r="AE149" s="820"/>
      <c r="AF149" s="834">
        <v>78.02</v>
      </c>
      <c r="AG149" s="812"/>
      <c r="AH149" s="820"/>
      <c r="AI149" s="834">
        <v>135.56</v>
      </c>
      <c r="AJ149" s="812"/>
      <c r="AK149" s="820"/>
      <c r="AL149" s="834">
        <v>198.33</v>
      </c>
      <c r="AM149" s="812"/>
      <c r="AN149" s="820"/>
      <c r="AO149" s="834">
        <v>53.84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2016.86</v>
      </c>
      <c r="F150" s="812"/>
      <c r="G150" s="820"/>
      <c r="H150" s="834">
        <v>213.68</v>
      </c>
      <c r="I150" s="812"/>
      <c r="J150" s="820"/>
      <c r="K150" s="834">
        <v>145.15</v>
      </c>
      <c r="L150" s="812"/>
      <c r="M150" s="820"/>
      <c r="N150" s="834">
        <v>161.44999999999999</v>
      </c>
      <c r="O150" s="812"/>
      <c r="P150" s="820"/>
      <c r="Q150" s="834">
        <v>185.1</v>
      </c>
      <c r="R150" s="812"/>
      <c r="S150" s="820"/>
      <c r="T150" s="834">
        <v>144.6</v>
      </c>
      <c r="U150" s="812"/>
      <c r="V150" s="820"/>
      <c r="W150" s="834">
        <v>144.6</v>
      </c>
      <c r="X150" s="812"/>
      <c r="Y150" s="820"/>
      <c r="Z150" s="834">
        <v>144.6</v>
      </c>
      <c r="AA150" s="812"/>
      <c r="AB150" s="820"/>
      <c r="AC150" s="834">
        <v>185.1</v>
      </c>
      <c r="AD150" s="812"/>
      <c r="AE150" s="820"/>
      <c r="AF150" s="834">
        <v>144.6</v>
      </c>
      <c r="AG150" s="812"/>
      <c r="AH150" s="820"/>
      <c r="AI150" s="834">
        <v>144.6</v>
      </c>
      <c r="AJ150" s="812"/>
      <c r="AK150" s="820"/>
      <c r="AL150" s="834">
        <v>164.4</v>
      </c>
      <c r="AM150" s="812"/>
      <c r="AN150" s="820"/>
      <c r="AO150" s="834">
        <v>238.98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729.47</v>
      </c>
      <c r="F151" s="812"/>
      <c r="G151" s="820"/>
      <c r="H151" s="834">
        <v>-282.73</v>
      </c>
      <c r="I151" s="812"/>
      <c r="J151" s="820"/>
      <c r="K151" s="834">
        <v>138.19</v>
      </c>
      <c r="L151" s="812"/>
      <c r="M151" s="820"/>
      <c r="N151" s="834">
        <v>155.58000000000001</v>
      </c>
      <c r="O151" s="812"/>
      <c r="P151" s="820"/>
      <c r="Q151" s="834">
        <v>65.39</v>
      </c>
      <c r="R151" s="812"/>
      <c r="S151" s="820"/>
      <c r="T151" s="834">
        <v>-198.8</v>
      </c>
      <c r="U151" s="812"/>
      <c r="V151" s="820"/>
      <c r="W151" s="834">
        <v>-10.73</v>
      </c>
      <c r="X151" s="812"/>
      <c r="Y151" s="820"/>
      <c r="Z151" s="834">
        <v>499.67</v>
      </c>
      <c r="AA151" s="812"/>
      <c r="AB151" s="820"/>
      <c r="AC151" s="834">
        <v>216.67</v>
      </c>
      <c r="AD151" s="812"/>
      <c r="AE151" s="820"/>
      <c r="AF151" s="834">
        <v>39.97</v>
      </c>
      <c r="AG151" s="812"/>
      <c r="AH151" s="820"/>
      <c r="AI151" s="834">
        <v>59.02</v>
      </c>
      <c r="AJ151" s="812"/>
      <c r="AK151" s="820"/>
      <c r="AL151" s="834">
        <v>-26.49</v>
      </c>
      <c r="AM151" s="812"/>
      <c r="AN151" s="820"/>
      <c r="AO151" s="834">
        <v>73.73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7974.04</v>
      </c>
      <c r="F152" s="812"/>
      <c r="G152" s="820"/>
      <c r="H152" s="834">
        <v>351.38</v>
      </c>
      <c r="I152" s="812"/>
      <c r="J152" s="820"/>
      <c r="K152" s="834">
        <v>364.99</v>
      </c>
      <c r="L152" s="812"/>
      <c r="M152" s="820"/>
      <c r="N152" s="834">
        <v>611.19000000000005</v>
      </c>
      <c r="O152" s="812"/>
      <c r="P152" s="820"/>
      <c r="Q152" s="834">
        <v>975.13</v>
      </c>
      <c r="R152" s="812"/>
      <c r="S152" s="820"/>
      <c r="T152" s="834">
        <v>913.13</v>
      </c>
      <c r="U152" s="812"/>
      <c r="V152" s="820"/>
      <c r="W152" s="834">
        <v>547.04</v>
      </c>
      <c r="X152" s="812"/>
      <c r="Y152" s="820"/>
      <c r="Z152" s="834">
        <v>665.27</v>
      </c>
      <c r="AA152" s="812"/>
      <c r="AB152" s="820"/>
      <c r="AC152" s="834">
        <v>443.94</v>
      </c>
      <c r="AD152" s="812"/>
      <c r="AE152" s="820"/>
      <c r="AF152" s="834">
        <v>592.16</v>
      </c>
      <c r="AG152" s="812"/>
      <c r="AH152" s="820"/>
      <c r="AI152" s="834">
        <v>877.44</v>
      </c>
      <c r="AJ152" s="812"/>
      <c r="AK152" s="820"/>
      <c r="AL152" s="834">
        <v>1064.24</v>
      </c>
      <c r="AM152" s="812"/>
      <c r="AN152" s="820"/>
      <c r="AO152" s="834">
        <v>568.13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 t="s">
        <v>108</v>
      </c>
      <c r="G155" s="845">
        <v>0</v>
      </c>
      <c r="H155" s="821"/>
      <c r="I155" s="838" t="s">
        <v>108</v>
      </c>
      <c r="J155" s="845">
        <v>0</v>
      </c>
      <c r="K155" s="821"/>
      <c r="L155" s="838" t="s">
        <v>108</v>
      </c>
      <c r="M155" s="845">
        <v>0</v>
      </c>
      <c r="N155" s="821"/>
      <c r="O155" s="838" t="s">
        <v>108</v>
      </c>
      <c r="P155" s="845">
        <v>0</v>
      </c>
      <c r="Q155" s="821"/>
      <c r="R155" s="838" t="s">
        <v>108</v>
      </c>
      <c r="S155" s="845">
        <v>0</v>
      </c>
      <c r="T155" s="821"/>
      <c r="U155" s="838" t="s">
        <v>108</v>
      </c>
      <c r="V155" s="845">
        <v>0</v>
      </c>
      <c r="W155" s="821"/>
      <c r="X155" s="838" t="s">
        <v>108</v>
      </c>
      <c r="Y155" s="845">
        <v>0</v>
      </c>
      <c r="Z155" s="821"/>
      <c r="AA155" s="838" t="s">
        <v>108</v>
      </c>
      <c r="AB155" s="845">
        <v>0</v>
      </c>
      <c r="AC155" s="821"/>
      <c r="AD155" s="838" t="s">
        <v>108</v>
      </c>
      <c r="AE155" s="845">
        <v>0</v>
      </c>
      <c r="AF155" s="821"/>
      <c r="AG155" s="838" t="s">
        <v>108</v>
      </c>
      <c r="AH155" s="845">
        <v>0</v>
      </c>
      <c r="AI155" s="821"/>
      <c r="AJ155" s="838" t="s">
        <v>108</v>
      </c>
      <c r="AK155" s="845">
        <v>0</v>
      </c>
      <c r="AL155" s="821"/>
      <c r="AM155" s="838" t="s">
        <v>108</v>
      </c>
      <c r="AN155" s="845">
        <v>0</v>
      </c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8.5312437316373113E-2</v>
      </c>
      <c r="E156" s="841">
        <v>60938.789999999994</v>
      </c>
      <c r="F156" s="839"/>
      <c r="G156" s="840"/>
      <c r="H156" s="841">
        <v>3961.3999999999901</v>
      </c>
      <c r="I156" s="839"/>
      <c r="J156" s="840"/>
      <c r="K156" s="841">
        <v>4194.21</v>
      </c>
      <c r="L156" s="839"/>
      <c r="M156" s="840"/>
      <c r="N156" s="841">
        <v>4590.5599999999904</v>
      </c>
      <c r="O156" s="839"/>
      <c r="P156" s="840"/>
      <c r="Q156" s="841">
        <v>5040.13</v>
      </c>
      <c r="R156" s="839"/>
      <c r="S156" s="840"/>
      <c r="T156" s="841">
        <v>5717.24</v>
      </c>
      <c r="U156" s="839"/>
      <c r="V156" s="840"/>
      <c r="W156" s="841">
        <v>5012.33</v>
      </c>
      <c r="X156" s="839"/>
      <c r="Y156" s="840"/>
      <c r="Z156" s="841">
        <v>5081.84</v>
      </c>
      <c r="AA156" s="839"/>
      <c r="AB156" s="840"/>
      <c r="AC156" s="841">
        <v>5294.8699999999899</v>
      </c>
      <c r="AD156" s="839"/>
      <c r="AE156" s="840"/>
      <c r="AF156" s="841">
        <v>4573.6799999999903</v>
      </c>
      <c r="AG156" s="839"/>
      <c r="AH156" s="840"/>
      <c r="AI156" s="841">
        <v>5537.05</v>
      </c>
      <c r="AJ156" s="839"/>
      <c r="AK156" s="840"/>
      <c r="AL156" s="841">
        <v>5363.0999999999904</v>
      </c>
      <c r="AM156" s="839"/>
      <c r="AN156" s="840"/>
      <c r="AO156" s="841">
        <v>6572.38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 t="s">
        <v>108</v>
      </c>
      <c r="G157" s="845">
        <v>0</v>
      </c>
      <c r="H157" s="846"/>
      <c r="I157" s="838" t="s">
        <v>108</v>
      </c>
      <c r="J157" s="845">
        <v>0</v>
      </c>
      <c r="K157" s="846"/>
      <c r="L157" s="838" t="s">
        <v>108</v>
      </c>
      <c r="M157" s="845">
        <v>0</v>
      </c>
      <c r="N157" s="846"/>
      <c r="O157" s="838" t="s">
        <v>108</v>
      </c>
      <c r="P157" s="845">
        <v>0</v>
      </c>
      <c r="Q157" s="846"/>
      <c r="R157" s="838" t="s">
        <v>108</v>
      </c>
      <c r="S157" s="845">
        <v>0</v>
      </c>
      <c r="T157" s="846"/>
      <c r="U157" s="838" t="s">
        <v>108</v>
      </c>
      <c r="V157" s="845">
        <v>0</v>
      </c>
      <c r="W157" s="846"/>
      <c r="X157" s="838" t="s">
        <v>108</v>
      </c>
      <c r="Y157" s="845">
        <v>0</v>
      </c>
      <c r="Z157" s="846"/>
      <c r="AA157" s="838" t="s">
        <v>108</v>
      </c>
      <c r="AB157" s="845">
        <v>0</v>
      </c>
      <c r="AC157" s="846"/>
      <c r="AD157" s="838" t="s">
        <v>108</v>
      </c>
      <c r="AE157" s="845">
        <v>0</v>
      </c>
      <c r="AF157" s="846"/>
      <c r="AG157" s="838" t="s">
        <v>108</v>
      </c>
      <c r="AH157" s="845">
        <v>0</v>
      </c>
      <c r="AI157" s="846"/>
      <c r="AJ157" s="838" t="s">
        <v>108</v>
      </c>
      <c r="AK157" s="845">
        <v>0</v>
      </c>
      <c r="AL157" s="846"/>
      <c r="AM157" s="838" t="s">
        <v>108</v>
      </c>
      <c r="AN157" s="845">
        <v>0</v>
      </c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1.0345538051334537</v>
      </c>
      <c r="E158" s="850">
        <v>738983.19000000006</v>
      </c>
      <c r="F158" s="839"/>
      <c r="G158" s="840"/>
      <c r="H158" s="850">
        <v>63235.399999999987</v>
      </c>
      <c r="I158" s="839"/>
      <c r="J158" s="840"/>
      <c r="K158" s="850">
        <v>64887.1</v>
      </c>
      <c r="L158" s="839"/>
      <c r="M158" s="840"/>
      <c r="N158" s="850">
        <v>56847.639999999992</v>
      </c>
      <c r="O158" s="839"/>
      <c r="P158" s="840"/>
      <c r="Q158" s="850">
        <v>71845.05</v>
      </c>
      <c r="R158" s="839"/>
      <c r="S158" s="840"/>
      <c r="T158" s="850">
        <v>83864.479999999996</v>
      </c>
      <c r="U158" s="839"/>
      <c r="V158" s="840"/>
      <c r="W158" s="850">
        <v>59506.46</v>
      </c>
      <c r="X158" s="839"/>
      <c r="Y158" s="840"/>
      <c r="Z158" s="850">
        <v>57458.429999999891</v>
      </c>
      <c r="AA158" s="839"/>
      <c r="AB158" s="840"/>
      <c r="AC158" s="850">
        <v>52983.889999999992</v>
      </c>
      <c r="AD158" s="839"/>
      <c r="AE158" s="840"/>
      <c r="AF158" s="850">
        <v>56295.75</v>
      </c>
      <c r="AG158" s="839"/>
      <c r="AH158" s="840"/>
      <c r="AI158" s="850">
        <v>58400.479999999909</v>
      </c>
      <c r="AJ158" s="839"/>
      <c r="AK158" s="840"/>
      <c r="AL158" s="850">
        <v>50690.489999999889</v>
      </c>
      <c r="AM158" s="839"/>
      <c r="AN158" s="840"/>
      <c r="AO158" s="850">
        <v>62968.02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16050</v>
      </c>
      <c r="F159" s="864"/>
      <c r="G159" s="875"/>
      <c r="H159" s="834">
        <v>1800</v>
      </c>
      <c r="I159" s="864"/>
      <c r="J159" s="875"/>
      <c r="K159" s="834">
        <v>3000</v>
      </c>
      <c r="L159" s="864"/>
      <c r="M159" s="875"/>
      <c r="N159" s="834">
        <v>0</v>
      </c>
      <c r="O159" s="864"/>
      <c r="P159" s="875"/>
      <c r="Q159" s="834">
        <v>2625</v>
      </c>
      <c r="R159" s="864"/>
      <c r="S159" s="875"/>
      <c r="T159" s="834">
        <v>2250</v>
      </c>
      <c r="U159" s="864"/>
      <c r="V159" s="875"/>
      <c r="W159" s="834">
        <v>3375</v>
      </c>
      <c r="X159" s="864"/>
      <c r="Y159" s="875"/>
      <c r="Z159" s="834">
        <v>0</v>
      </c>
      <c r="AA159" s="864"/>
      <c r="AB159" s="875"/>
      <c r="AC159" s="834">
        <v>0</v>
      </c>
      <c r="AD159" s="864"/>
      <c r="AE159" s="875"/>
      <c r="AF159" s="834">
        <v>0</v>
      </c>
      <c r="AG159" s="864"/>
      <c r="AH159" s="875"/>
      <c r="AI159" s="834">
        <v>3000</v>
      </c>
      <c r="AJ159" s="864"/>
      <c r="AK159" s="875"/>
      <c r="AL159" s="834">
        <v>0</v>
      </c>
      <c r="AM159" s="864"/>
      <c r="AN159" s="875"/>
      <c r="AO159" s="834">
        <v>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24625</v>
      </c>
      <c r="F160" s="864"/>
      <c r="G160" s="875"/>
      <c r="H160" s="834">
        <v>0</v>
      </c>
      <c r="I160" s="864"/>
      <c r="J160" s="875"/>
      <c r="K160" s="834">
        <v>16075</v>
      </c>
      <c r="L160" s="864"/>
      <c r="M160" s="875"/>
      <c r="N160" s="834">
        <v>10000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0</v>
      </c>
      <c r="X160" s="864"/>
      <c r="Y160" s="875"/>
      <c r="Z160" s="834">
        <v>0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0</v>
      </c>
      <c r="AJ160" s="864"/>
      <c r="AK160" s="875"/>
      <c r="AL160" s="834">
        <v>0</v>
      </c>
      <c r="AM160" s="864"/>
      <c r="AN160" s="875"/>
      <c r="AO160" s="834">
        <v>-1450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/>
      <c r="I161" s="812"/>
      <c r="J161" s="820"/>
      <c r="K161" s="834"/>
      <c r="L161" s="812"/>
      <c r="M161" s="820"/>
      <c r="N161" s="834"/>
      <c r="O161" s="812"/>
      <c r="P161" s="820"/>
      <c r="Q161" s="834"/>
      <c r="R161" s="812"/>
      <c r="S161" s="820"/>
      <c r="T161" s="834"/>
      <c r="U161" s="812"/>
      <c r="V161" s="820"/>
      <c r="W161" s="834"/>
      <c r="X161" s="812"/>
      <c r="Y161" s="820"/>
      <c r="Z161" s="834"/>
      <c r="AA161" s="812"/>
      <c r="AB161" s="820"/>
      <c r="AC161" s="834"/>
      <c r="AD161" s="812"/>
      <c r="AE161" s="820"/>
      <c r="AF161" s="834"/>
      <c r="AG161" s="812"/>
      <c r="AH161" s="820"/>
      <c r="AI161" s="834"/>
      <c r="AJ161" s="812"/>
      <c r="AK161" s="820"/>
      <c r="AL161" s="834"/>
      <c r="AM161" s="812"/>
      <c r="AN161" s="820"/>
      <c r="AO161" s="834"/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</v>
      </c>
      <c r="B162" s="557"/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98770</v>
      </c>
      <c r="F165" s="838"/>
      <c r="G165" s="845"/>
      <c r="H165" s="837">
        <v>5950</v>
      </c>
      <c r="I165" s="838"/>
      <c r="J165" s="845"/>
      <c r="K165" s="837">
        <v>5355</v>
      </c>
      <c r="L165" s="838"/>
      <c r="M165" s="845"/>
      <c r="N165" s="837">
        <v>7735</v>
      </c>
      <c r="O165" s="838"/>
      <c r="P165" s="845"/>
      <c r="Q165" s="837">
        <v>13090</v>
      </c>
      <c r="R165" s="838"/>
      <c r="S165" s="845"/>
      <c r="T165" s="837">
        <v>10710</v>
      </c>
      <c r="U165" s="838"/>
      <c r="V165" s="845"/>
      <c r="W165" s="837">
        <v>9520</v>
      </c>
      <c r="X165" s="838"/>
      <c r="Y165" s="845"/>
      <c r="Z165" s="837">
        <v>10115</v>
      </c>
      <c r="AA165" s="838"/>
      <c r="AB165" s="845"/>
      <c r="AC165" s="837">
        <v>10710</v>
      </c>
      <c r="AD165" s="838"/>
      <c r="AE165" s="845"/>
      <c r="AF165" s="837">
        <v>7735</v>
      </c>
      <c r="AG165" s="838"/>
      <c r="AH165" s="845"/>
      <c r="AI165" s="837">
        <v>7140</v>
      </c>
      <c r="AJ165" s="838"/>
      <c r="AK165" s="845"/>
      <c r="AL165" s="837">
        <v>4165</v>
      </c>
      <c r="AM165" s="838"/>
      <c r="AN165" s="845"/>
      <c r="AO165" s="837">
        <v>6545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139445</v>
      </c>
      <c r="F166" s="876"/>
      <c r="G166" s="877"/>
      <c r="H166" s="850">
        <v>7750</v>
      </c>
      <c r="I166" s="876"/>
      <c r="J166" s="877"/>
      <c r="K166" s="850">
        <v>24430</v>
      </c>
      <c r="L166" s="876"/>
      <c r="M166" s="877"/>
      <c r="N166" s="850">
        <v>17735</v>
      </c>
      <c r="O166" s="876"/>
      <c r="P166" s="877"/>
      <c r="Q166" s="850">
        <v>15715</v>
      </c>
      <c r="R166" s="876"/>
      <c r="S166" s="877"/>
      <c r="T166" s="850">
        <v>12960</v>
      </c>
      <c r="U166" s="876"/>
      <c r="V166" s="877"/>
      <c r="W166" s="850">
        <v>12895</v>
      </c>
      <c r="X166" s="876"/>
      <c r="Y166" s="877"/>
      <c r="Z166" s="850">
        <v>10115</v>
      </c>
      <c r="AA166" s="876"/>
      <c r="AB166" s="877"/>
      <c r="AC166" s="850">
        <v>10710</v>
      </c>
      <c r="AD166" s="876"/>
      <c r="AE166" s="877"/>
      <c r="AF166" s="850">
        <v>7735</v>
      </c>
      <c r="AG166" s="876"/>
      <c r="AH166" s="877"/>
      <c r="AI166" s="850">
        <v>10140</v>
      </c>
      <c r="AJ166" s="876"/>
      <c r="AK166" s="877"/>
      <c r="AL166" s="850">
        <v>4165</v>
      </c>
      <c r="AM166" s="876"/>
      <c r="AN166" s="877"/>
      <c r="AO166" s="850">
        <v>5095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114763.16999999911</v>
      </c>
      <c r="F168" s="878"/>
      <c r="G168" s="879"/>
      <c r="H168" s="859">
        <v>-2331.8400000000256</v>
      </c>
      <c r="I168" s="878"/>
      <c r="J168" s="879"/>
      <c r="K168" s="859">
        <v>17390.219999999907</v>
      </c>
      <c r="L168" s="878"/>
      <c r="M168" s="879"/>
      <c r="N168" s="859">
        <v>6941.5899999999747</v>
      </c>
      <c r="O168" s="878"/>
      <c r="P168" s="879"/>
      <c r="Q168" s="859">
        <v>25590.979999999763</v>
      </c>
      <c r="R168" s="878"/>
      <c r="S168" s="879"/>
      <c r="T168" s="859">
        <v>11114.620000000054</v>
      </c>
      <c r="U168" s="878"/>
      <c r="V168" s="879"/>
      <c r="W168" s="859">
        <v>8376.91999999986</v>
      </c>
      <c r="X168" s="878"/>
      <c r="Y168" s="879"/>
      <c r="Z168" s="859">
        <v>18537.719999999943</v>
      </c>
      <c r="AA168" s="878"/>
      <c r="AB168" s="879"/>
      <c r="AC168" s="859">
        <v>3475.5199999999968</v>
      </c>
      <c r="AD168" s="878"/>
      <c r="AE168" s="879"/>
      <c r="AF168" s="859">
        <v>23841.199999999924</v>
      </c>
      <c r="AG168" s="878"/>
      <c r="AH168" s="879"/>
      <c r="AI168" s="859">
        <v>21299.399999999994</v>
      </c>
      <c r="AJ168" s="878"/>
      <c r="AK168" s="879"/>
      <c r="AL168" s="859">
        <v>-2204.6599999999089</v>
      </c>
      <c r="AM168" s="878"/>
      <c r="AN168" s="879"/>
      <c r="AO168" s="859">
        <v>-17268.500000000095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2813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2294</v>
      </c>
      <c r="D175" s="882">
        <v>717602.00999999989</v>
      </c>
      <c r="E175" s="834">
        <v>567784.0499999997</v>
      </c>
      <c r="F175" s="881">
        <v>102</v>
      </c>
      <c r="G175" s="882">
        <v>27706.55</v>
      </c>
      <c r="H175" s="834">
        <v>21662.4899999999</v>
      </c>
      <c r="I175" s="881">
        <v>92</v>
      </c>
      <c r="J175" s="882">
        <v>31160.85</v>
      </c>
      <c r="K175" s="834">
        <v>24369.95</v>
      </c>
      <c r="L175" s="881">
        <v>153</v>
      </c>
      <c r="M175" s="882">
        <v>42401.85</v>
      </c>
      <c r="N175" s="834">
        <v>32425.32</v>
      </c>
      <c r="O175" s="881">
        <v>296</v>
      </c>
      <c r="P175" s="882">
        <v>84593.209999999905</v>
      </c>
      <c r="Q175" s="834">
        <v>66593.14</v>
      </c>
      <c r="R175" s="881">
        <v>279</v>
      </c>
      <c r="S175" s="882">
        <v>100412.12</v>
      </c>
      <c r="T175" s="834">
        <v>80544.949999999895</v>
      </c>
      <c r="U175" s="881">
        <v>157</v>
      </c>
      <c r="V175" s="882">
        <v>53893.73</v>
      </c>
      <c r="W175" s="834">
        <v>42144.95</v>
      </c>
      <c r="X175" s="881">
        <v>188</v>
      </c>
      <c r="Y175" s="882">
        <v>71899.94</v>
      </c>
      <c r="Z175" s="834">
        <v>56652.22</v>
      </c>
      <c r="AA175" s="881">
        <v>150</v>
      </c>
      <c r="AB175" s="882">
        <v>48036.56</v>
      </c>
      <c r="AC175" s="834">
        <v>38402.36</v>
      </c>
      <c r="AD175" s="881">
        <v>116</v>
      </c>
      <c r="AE175" s="882">
        <v>36184.839999999997</v>
      </c>
      <c r="AF175" s="834">
        <v>29560.799999999999</v>
      </c>
      <c r="AG175" s="881">
        <v>330</v>
      </c>
      <c r="AH175" s="882">
        <v>89572.72</v>
      </c>
      <c r="AI175" s="834">
        <v>71477.289999999994</v>
      </c>
      <c r="AJ175" s="881">
        <v>334</v>
      </c>
      <c r="AK175" s="882">
        <v>102245.31</v>
      </c>
      <c r="AL175" s="834">
        <v>80750.669999999896</v>
      </c>
      <c r="AM175" s="881">
        <v>97</v>
      </c>
      <c r="AN175" s="882">
        <v>29494.33</v>
      </c>
      <c r="AO175" s="834">
        <v>23199.91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0.79122416337713408</v>
      </c>
      <c r="F176" s="883"/>
      <c r="G176" s="820"/>
      <c r="H176" s="884">
        <v>0.78185447123513752</v>
      </c>
      <c r="I176" s="883"/>
      <c r="J176" s="820"/>
      <c r="K176" s="884">
        <v>0.78206948783489549</v>
      </c>
      <c r="L176" s="883"/>
      <c r="M176" s="820"/>
      <c r="N176" s="884">
        <v>0.76471474711598675</v>
      </c>
      <c r="O176" s="883"/>
      <c r="P176" s="820"/>
      <c r="Q176" s="884">
        <v>0.78721613708712646</v>
      </c>
      <c r="R176" s="883"/>
      <c r="S176" s="820"/>
      <c r="T176" s="884">
        <v>0.80214370536146329</v>
      </c>
      <c r="U176" s="883"/>
      <c r="V176" s="820"/>
      <c r="W176" s="884">
        <v>0.78200098601451407</v>
      </c>
      <c r="X176" s="883"/>
      <c r="Y176" s="820"/>
      <c r="Z176" s="884">
        <v>0.78793139465763118</v>
      </c>
      <c r="AA176" s="883"/>
      <c r="AB176" s="820"/>
      <c r="AC176" s="884">
        <v>0.79944025966888554</v>
      </c>
      <c r="AD176" s="883"/>
      <c r="AE176" s="820"/>
      <c r="AF176" s="884">
        <v>0.81693880641727312</v>
      </c>
      <c r="AG176" s="883"/>
      <c r="AH176" s="820"/>
      <c r="AI176" s="884">
        <v>0.79798056819085084</v>
      </c>
      <c r="AJ176" s="883"/>
      <c r="AK176" s="820"/>
      <c r="AL176" s="884">
        <v>0.78977382923480699</v>
      </c>
      <c r="AM176" s="883"/>
      <c r="AN176" s="820"/>
      <c r="AO176" s="884">
        <v>0.78658881215474286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312.8169180470793</v>
      </c>
      <c r="E177" s="887"/>
      <c r="F177" s="885"/>
      <c r="G177" s="886">
        <v>271.63284313725489</v>
      </c>
      <c r="H177" s="887"/>
      <c r="I177" s="885"/>
      <c r="J177" s="886">
        <v>338.70489130434783</v>
      </c>
      <c r="K177" s="887"/>
      <c r="L177" s="885"/>
      <c r="M177" s="886">
        <v>277.13627450980391</v>
      </c>
      <c r="N177" s="887"/>
      <c r="O177" s="885"/>
      <c r="P177" s="886">
        <v>285.78787162162132</v>
      </c>
      <c r="Q177" s="887"/>
      <c r="R177" s="885"/>
      <c r="S177" s="886">
        <v>359.90007168458777</v>
      </c>
      <c r="T177" s="887"/>
      <c r="U177" s="885"/>
      <c r="V177" s="886">
        <v>343.27216560509555</v>
      </c>
      <c r="W177" s="887"/>
      <c r="X177" s="885"/>
      <c r="Y177" s="886">
        <v>382.44648936170216</v>
      </c>
      <c r="Z177" s="887"/>
      <c r="AA177" s="885"/>
      <c r="AB177" s="886">
        <v>320.2437333333333</v>
      </c>
      <c r="AC177" s="887"/>
      <c r="AD177" s="885"/>
      <c r="AE177" s="886">
        <v>311.93827586206896</v>
      </c>
      <c r="AF177" s="887"/>
      <c r="AG177" s="885"/>
      <c r="AH177" s="886">
        <v>271.43248484848488</v>
      </c>
      <c r="AI177" s="887"/>
      <c r="AJ177" s="885"/>
      <c r="AK177" s="886">
        <v>306.12368263473053</v>
      </c>
      <c r="AL177" s="887"/>
      <c r="AM177" s="885"/>
      <c r="AN177" s="886">
        <v>304.06525773195881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1953</v>
      </c>
      <c r="D178" s="889">
        <v>318109.99999999977</v>
      </c>
      <c r="E178" s="844">
        <v>214174.87999999971</v>
      </c>
      <c r="F178" s="888">
        <v>152</v>
      </c>
      <c r="G178" s="889">
        <v>25018.8299999999</v>
      </c>
      <c r="H178" s="844">
        <v>15898.2599999999</v>
      </c>
      <c r="I178" s="888">
        <v>133</v>
      </c>
      <c r="J178" s="889">
        <v>18601.41</v>
      </c>
      <c r="K178" s="844">
        <v>12239.21</v>
      </c>
      <c r="L178" s="888">
        <v>108</v>
      </c>
      <c r="M178" s="889">
        <v>14398.23</v>
      </c>
      <c r="N178" s="844">
        <v>8705.2499999999909</v>
      </c>
      <c r="O178" s="888">
        <v>151</v>
      </c>
      <c r="P178" s="889">
        <v>19987.38</v>
      </c>
      <c r="Q178" s="844">
        <v>12979.78</v>
      </c>
      <c r="R178" s="888">
        <v>206</v>
      </c>
      <c r="S178" s="889">
        <v>24712.68</v>
      </c>
      <c r="T178" s="844">
        <v>16544.599999999999</v>
      </c>
      <c r="U178" s="888">
        <v>170</v>
      </c>
      <c r="V178" s="889">
        <v>28704.47</v>
      </c>
      <c r="W178" s="844">
        <v>19244.02</v>
      </c>
      <c r="X178" s="888">
        <v>206</v>
      </c>
      <c r="Y178" s="889">
        <v>33520.949999999997</v>
      </c>
      <c r="Z178" s="844">
        <v>22940.14</v>
      </c>
      <c r="AA178" s="888">
        <v>160</v>
      </c>
      <c r="AB178" s="889">
        <v>24088.77</v>
      </c>
      <c r="AC178" s="844">
        <v>17403.34</v>
      </c>
      <c r="AD178" s="888">
        <v>162</v>
      </c>
      <c r="AE178" s="889">
        <v>32483.789999999899</v>
      </c>
      <c r="AF178" s="844">
        <v>22886.019999999899</v>
      </c>
      <c r="AG178" s="888">
        <v>194</v>
      </c>
      <c r="AH178" s="889">
        <v>32031.9</v>
      </c>
      <c r="AI178" s="844">
        <v>22008.22</v>
      </c>
      <c r="AJ178" s="888">
        <v>168</v>
      </c>
      <c r="AK178" s="889">
        <v>29558.97</v>
      </c>
      <c r="AL178" s="844">
        <v>19564.3999999999</v>
      </c>
      <c r="AM178" s="888">
        <v>143</v>
      </c>
      <c r="AN178" s="889">
        <v>35002.620000000003</v>
      </c>
      <c r="AO178" s="844">
        <v>23761.64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0.67327301876709278</v>
      </c>
      <c r="F179" s="812"/>
      <c r="G179" s="820"/>
      <c r="H179" s="884">
        <v>0.63545177772101913</v>
      </c>
      <c r="I179" s="812"/>
      <c r="J179" s="820"/>
      <c r="K179" s="884">
        <v>0.65797216447570372</v>
      </c>
      <c r="L179" s="812"/>
      <c r="M179" s="820"/>
      <c r="N179" s="884">
        <v>0.6046055661008326</v>
      </c>
      <c r="O179" s="812"/>
      <c r="P179" s="820"/>
      <c r="Q179" s="884">
        <v>0.64939877062426388</v>
      </c>
      <c r="R179" s="812"/>
      <c r="S179" s="820"/>
      <c r="T179" s="884">
        <v>0.66947817881346738</v>
      </c>
      <c r="U179" s="812"/>
      <c r="V179" s="820"/>
      <c r="W179" s="884">
        <v>0.67041892778372147</v>
      </c>
      <c r="X179" s="812"/>
      <c r="Y179" s="820"/>
      <c r="Z179" s="884">
        <v>0.68435232295027437</v>
      </c>
      <c r="AA179" s="812"/>
      <c r="AB179" s="820"/>
      <c r="AC179" s="884">
        <v>0.72246694206470485</v>
      </c>
      <c r="AD179" s="812"/>
      <c r="AE179" s="820"/>
      <c r="AF179" s="884">
        <v>0.70453663196320282</v>
      </c>
      <c r="AG179" s="812"/>
      <c r="AH179" s="820"/>
      <c r="AI179" s="884">
        <v>0.68707195014969458</v>
      </c>
      <c r="AJ179" s="812"/>
      <c r="AK179" s="820"/>
      <c r="AL179" s="884">
        <v>0.66187691925665537</v>
      </c>
      <c r="AM179" s="812"/>
      <c r="AN179" s="820"/>
      <c r="AO179" s="884">
        <v>0.67885318299030184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162.88274449564761</v>
      </c>
      <c r="E180" s="887"/>
      <c r="F180" s="838"/>
      <c r="G180" s="886">
        <v>164.59756578947304</v>
      </c>
      <c r="H180" s="887"/>
      <c r="I180" s="838"/>
      <c r="J180" s="886">
        <v>139.86022556390978</v>
      </c>
      <c r="K180" s="887"/>
      <c r="L180" s="838"/>
      <c r="M180" s="886">
        <v>133.31694444444443</v>
      </c>
      <c r="N180" s="887"/>
      <c r="O180" s="838"/>
      <c r="P180" s="886">
        <v>132.36675496688741</v>
      </c>
      <c r="Q180" s="887"/>
      <c r="R180" s="838"/>
      <c r="S180" s="886">
        <v>119.96446601941747</v>
      </c>
      <c r="T180" s="887"/>
      <c r="U180" s="838"/>
      <c r="V180" s="886">
        <v>168.84982352941176</v>
      </c>
      <c r="W180" s="887"/>
      <c r="X180" s="838"/>
      <c r="Y180" s="886">
        <v>162.72305825242717</v>
      </c>
      <c r="Z180" s="887"/>
      <c r="AA180" s="838"/>
      <c r="AB180" s="886">
        <v>150.5548125</v>
      </c>
      <c r="AC180" s="887"/>
      <c r="AD180" s="838"/>
      <c r="AE180" s="886">
        <v>200.51722222222159</v>
      </c>
      <c r="AF180" s="887"/>
      <c r="AG180" s="838"/>
      <c r="AH180" s="886">
        <v>165.11288659793814</v>
      </c>
      <c r="AI180" s="887"/>
      <c r="AJ180" s="838"/>
      <c r="AK180" s="886">
        <v>175.94625000000002</v>
      </c>
      <c r="AL180" s="887"/>
      <c r="AM180" s="838"/>
      <c r="AN180" s="886">
        <v>244.77356643356646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2001</v>
      </c>
      <c r="D181" s="882">
        <v>488203.61999999976</v>
      </c>
      <c r="E181" s="834">
        <v>302529.6799999997</v>
      </c>
      <c r="F181" s="881">
        <v>104</v>
      </c>
      <c r="G181" s="882">
        <v>24373.48</v>
      </c>
      <c r="H181" s="834">
        <v>15236.3</v>
      </c>
      <c r="I181" s="881">
        <v>150</v>
      </c>
      <c r="J181" s="882">
        <v>32809.699999999997</v>
      </c>
      <c r="K181" s="834">
        <v>19608.669999999998</v>
      </c>
      <c r="L181" s="881">
        <v>127</v>
      </c>
      <c r="M181" s="882">
        <v>25948.02</v>
      </c>
      <c r="N181" s="834">
        <v>14420.74</v>
      </c>
      <c r="O181" s="881">
        <v>188</v>
      </c>
      <c r="P181" s="882">
        <v>41586.22</v>
      </c>
      <c r="Q181" s="834">
        <v>23730.2</v>
      </c>
      <c r="R181" s="881">
        <v>250</v>
      </c>
      <c r="S181" s="882">
        <v>63177.869999999901</v>
      </c>
      <c r="T181" s="834">
        <v>39665.360000000001</v>
      </c>
      <c r="U181" s="881">
        <v>145</v>
      </c>
      <c r="V181" s="882">
        <v>32149.02</v>
      </c>
      <c r="W181" s="834">
        <v>19018.77</v>
      </c>
      <c r="X181" s="881">
        <v>172</v>
      </c>
      <c r="Y181" s="882">
        <v>41479.699999999997</v>
      </c>
      <c r="Z181" s="834">
        <v>27521.299999999901</v>
      </c>
      <c r="AA181" s="881">
        <v>175</v>
      </c>
      <c r="AB181" s="882">
        <v>41607.620000000003</v>
      </c>
      <c r="AC181" s="834">
        <v>26145.65</v>
      </c>
      <c r="AD181" s="881">
        <v>170</v>
      </c>
      <c r="AE181" s="882">
        <v>44891.799999999901</v>
      </c>
      <c r="AF181" s="834">
        <v>25877.229999999901</v>
      </c>
      <c r="AG181" s="881">
        <v>172</v>
      </c>
      <c r="AH181" s="882">
        <v>46200.43</v>
      </c>
      <c r="AI181" s="834">
        <v>31253.35</v>
      </c>
      <c r="AJ181" s="881">
        <v>193</v>
      </c>
      <c r="AK181" s="882">
        <v>50906.729999999901</v>
      </c>
      <c r="AL181" s="834">
        <v>33664.799999999901</v>
      </c>
      <c r="AM181" s="881">
        <v>155</v>
      </c>
      <c r="AN181" s="882">
        <v>43073.03</v>
      </c>
      <c r="AO181" s="834">
        <v>26387.31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0.61967930512272695</v>
      </c>
      <c r="F182" s="883"/>
      <c r="G182" s="890"/>
      <c r="H182" s="884">
        <v>0.62511795607356846</v>
      </c>
      <c r="I182" s="883"/>
      <c r="J182" s="890"/>
      <c r="K182" s="884">
        <v>0.59764856124865517</v>
      </c>
      <c r="L182" s="883"/>
      <c r="M182" s="890"/>
      <c r="N182" s="884">
        <v>0.55575492850706909</v>
      </c>
      <c r="O182" s="883"/>
      <c r="P182" s="890"/>
      <c r="Q182" s="884">
        <v>0.57062652003476155</v>
      </c>
      <c r="R182" s="883"/>
      <c r="S182" s="890"/>
      <c r="T182" s="884">
        <v>0.62783629774159944</v>
      </c>
      <c r="U182" s="883"/>
      <c r="V182" s="890"/>
      <c r="W182" s="884">
        <v>0.59158164074674746</v>
      </c>
      <c r="X182" s="883"/>
      <c r="Y182" s="890"/>
      <c r="Z182" s="884">
        <v>0.66348840517168406</v>
      </c>
      <c r="AA182" s="883"/>
      <c r="AB182" s="890"/>
      <c r="AC182" s="884">
        <v>0.62838609850791749</v>
      </c>
      <c r="AD182" s="883"/>
      <c r="AE182" s="890"/>
      <c r="AF182" s="884">
        <v>0.57643556284221076</v>
      </c>
      <c r="AG182" s="883"/>
      <c r="AH182" s="890"/>
      <c r="AI182" s="884">
        <v>0.67647314105085166</v>
      </c>
      <c r="AJ182" s="883"/>
      <c r="AK182" s="890"/>
      <c r="AL182" s="884">
        <v>0.66130352509383272</v>
      </c>
      <c r="AM182" s="883"/>
      <c r="AN182" s="890"/>
      <c r="AO182" s="884">
        <v>0.6126179189158506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243.9798200899549</v>
      </c>
      <c r="E183" s="884"/>
      <c r="F183" s="883"/>
      <c r="G183" s="891">
        <v>234.36038461538462</v>
      </c>
      <c r="H183" s="884"/>
      <c r="I183" s="883"/>
      <c r="J183" s="891">
        <v>218.73133333333331</v>
      </c>
      <c r="K183" s="884"/>
      <c r="L183" s="883"/>
      <c r="M183" s="891">
        <v>204.31511811023623</v>
      </c>
      <c r="N183" s="884"/>
      <c r="O183" s="883"/>
      <c r="P183" s="891">
        <v>221.20329787234044</v>
      </c>
      <c r="Q183" s="884"/>
      <c r="R183" s="883"/>
      <c r="S183" s="891">
        <v>252.7114799999996</v>
      </c>
      <c r="T183" s="884"/>
      <c r="U183" s="883"/>
      <c r="V183" s="891">
        <v>221.71737931034482</v>
      </c>
      <c r="W183" s="884"/>
      <c r="X183" s="883"/>
      <c r="Y183" s="891">
        <v>241.16104651162789</v>
      </c>
      <c r="Z183" s="884"/>
      <c r="AA183" s="883"/>
      <c r="AB183" s="891">
        <v>237.75782857142858</v>
      </c>
      <c r="AC183" s="884"/>
      <c r="AD183" s="883"/>
      <c r="AE183" s="891">
        <v>264.06941176470531</v>
      </c>
      <c r="AF183" s="884"/>
      <c r="AG183" s="883"/>
      <c r="AH183" s="891">
        <v>268.60715116279067</v>
      </c>
      <c r="AI183" s="884"/>
      <c r="AJ183" s="883"/>
      <c r="AK183" s="891">
        <v>263.76544041450728</v>
      </c>
      <c r="AL183" s="884"/>
      <c r="AM183" s="883"/>
      <c r="AN183" s="891">
        <v>277.89051612903228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660</v>
      </c>
      <c r="D184" s="889">
        <v>125982.02999999997</v>
      </c>
      <c r="E184" s="844">
        <v>46632.649999999987</v>
      </c>
      <c r="F184" s="888">
        <v>30</v>
      </c>
      <c r="G184" s="889">
        <v>4859.3999999999996</v>
      </c>
      <c r="H184" s="844">
        <v>1623.9</v>
      </c>
      <c r="I184" s="888">
        <v>29</v>
      </c>
      <c r="J184" s="889">
        <v>4185.1499999999996</v>
      </c>
      <c r="K184" s="844">
        <v>1553.55</v>
      </c>
      <c r="L184" s="888">
        <v>49</v>
      </c>
      <c r="M184" s="889">
        <v>10736.24</v>
      </c>
      <c r="N184" s="844">
        <v>4614.24</v>
      </c>
      <c r="O184" s="888">
        <v>129</v>
      </c>
      <c r="P184" s="889">
        <v>28303.97</v>
      </c>
      <c r="Q184" s="844">
        <v>11603.56</v>
      </c>
      <c r="R184" s="888">
        <v>86</v>
      </c>
      <c r="S184" s="889">
        <v>16422.669999999998</v>
      </c>
      <c r="T184" s="844">
        <v>6604.41</v>
      </c>
      <c r="U184" s="888">
        <v>47</v>
      </c>
      <c r="V184" s="889">
        <v>9411.9299999999894</v>
      </c>
      <c r="W184" s="844">
        <v>3425.9399999999901</v>
      </c>
      <c r="X184" s="888">
        <v>42</v>
      </c>
      <c r="Y184" s="889">
        <v>7268.21</v>
      </c>
      <c r="Z184" s="844">
        <v>2318.71</v>
      </c>
      <c r="AA184" s="888">
        <v>37</v>
      </c>
      <c r="AB184" s="889">
        <v>6482.7</v>
      </c>
      <c r="AC184" s="844">
        <v>2179.9499999999998</v>
      </c>
      <c r="AD184" s="888">
        <v>35</v>
      </c>
      <c r="AE184" s="889">
        <v>6441.76</v>
      </c>
      <c r="AF184" s="844">
        <v>1643.65</v>
      </c>
      <c r="AG184" s="888">
        <v>99</v>
      </c>
      <c r="AH184" s="889">
        <v>17782.45</v>
      </c>
      <c r="AI184" s="844">
        <v>6067.88</v>
      </c>
      <c r="AJ184" s="888">
        <v>59</v>
      </c>
      <c r="AK184" s="889">
        <v>10564.15</v>
      </c>
      <c r="AL184" s="844">
        <v>3755.12</v>
      </c>
      <c r="AM184" s="888">
        <v>18</v>
      </c>
      <c r="AN184" s="889">
        <v>3523.4</v>
      </c>
      <c r="AO184" s="844">
        <v>1241.74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0.37015318772050265</v>
      </c>
      <c r="F185" s="892"/>
      <c r="G185" s="893">
        <v>0</v>
      </c>
      <c r="H185" s="884">
        <v>0.33417705889616006</v>
      </c>
      <c r="I185" s="892"/>
      <c r="J185" s="893">
        <v>0</v>
      </c>
      <c r="K185" s="884">
        <v>0.37120533314218129</v>
      </c>
      <c r="L185" s="892"/>
      <c r="M185" s="893">
        <v>0</v>
      </c>
      <c r="N185" s="884">
        <v>0.42978174854511447</v>
      </c>
      <c r="O185" s="892"/>
      <c r="P185" s="893">
        <v>0</v>
      </c>
      <c r="Q185" s="884">
        <v>0.40996227737663654</v>
      </c>
      <c r="R185" s="892"/>
      <c r="S185" s="893">
        <v>0</v>
      </c>
      <c r="T185" s="884">
        <v>0.40215202521879817</v>
      </c>
      <c r="U185" s="892"/>
      <c r="V185" s="893">
        <v>0</v>
      </c>
      <c r="W185" s="884">
        <v>0.36399973225470161</v>
      </c>
      <c r="X185" s="892"/>
      <c r="Y185" s="893">
        <v>0</v>
      </c>
      <c r="Z185" s="884">
        <v>0.31902077677997748</v>
      </c>
      <c r="AA185" s="892"/>
      <c r="AB185" s="893">
        <v>0</v>
      </c>
      <c r="AC185" s="884">
        <v>0.33627192373548059</v>
      </c>
      <c r="AD185" s="892"/>
      <c r="AE185" s="893">
        <v>0</v>
      </c>
      <c r="AF185" s="884">
        <v>0.25515542336255931</v>
      </c>
      <c r="AG185" s="892"/>
      <c r="AH185" s="893">
        <v>0</v>
      </c>
      <c r="AI185" s="884">
        <v>0.34122857086621922</v>
      </c>
      <c r="AJ185" s="892"/>
      <c r="AK185" s="893">
        <v>0</v>
      </c>
      <c r="AL185" s="884">
        <v>0.35545879223600574</v>
      </c>
      <c r="AM185" s="892"/>
      <c r="AN185" s="893">
        <v>0</v>
      </c>
      <c r="AO185" s="884">
        <v>0.35242663336549923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190.88186363636359</v>
      </c>
      <c r="E186" s="887"/>
      <c r="F186" s="894"/>
      <c r="G186" s="895">
        <v>161.97999999999999</v>
      </c>
      <c r="H186" s="887"/>
      <c r="I186" s="894"/>
      <c r="J186" s="895">
        <v>144.3155172413793</v>
      </c>
      <c r="K186" s="887"/>
      <c r="L186" s="894"/>
      <c r="M186" s="895">
        <v>219.1069387755102</v>
      </c>
      <c r="N186" s="887"/>
      <c r="O186" s="894"/>
      <c r="P186" s="895">
        <v>219.41062015503877</v>
      </c>
      <c r="Q186" s="887"/>
      <c r="R186" s="894"/>
      <c r="S186" s="895">
        <v>190.96127906976741</v>
      </c>
      <c r="T186" s="887"/>
      <c r="U186" s="894"/>
      <c r="V186" s="895">
        <v>200.25382978723383</v>
      </c>
      <c r="W186" s="887"/>
      <c r="X186" s="894"/>
      <c r="Y186" s="895">
        <v>173.05261904761906</v>
      </c>
      <c r="Z186" s="887"/>
      <c r="AA186" s="894"/>
      <c r="AB186" s="895">
        <v>175.20810810810809</v>
      </c>
      <c r="AC186" s="887"/>
      <c r="AD186" s="894"/>
      <c r="AE186" s="895">
        <v>184.05028571428571</v>
      </c>
      <c r="AF186" s="887"/>
      <c r="AG186" s="894"/>
      <c r="AH186" s="895">
        <v>179.62070707070708</v>
      </c>
      <c r="AI186" s="887"/>
      <c r="AJ186" s="894"/>
      <c r="AK186" s="895">
        <v>179.05338983050848</v>
      </c>
      <c r="AL186" s="887"/>
      <c r="AM186" s="894"/>
      <c r="AN186" s="895">
        <v>195.74444444444444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-30929.62</v>
      </c>
      <c r="F187" s="881"/>
      <c r="G187" s="882"/>
      <c r="H187" s="834">
        <v>-1556.78</v>
      </c>
      <c r="I187" s="881"/>
      <c r="J187" s="882"/>
      <c r="K187" s="834">
        <v>-1130.81</v>
      </c>
      <c r="L187" s="881"/>
      <c r="M187" s="882"/>
      <c r="N187" s="834">
        <v>-1928.67</v>
      </c>
      <c r="O187" s="881"/>
      <c r="P187" s="882"/>
      <c r="Q187" s="834">
        <v>-4926.28</v>
      </c>
      <c r="R187" s="881"/>
      <c r="S187" s="882"/>
      <c r="T187" s="834">
        <v>-2669.26</v>
      </c>
      <c r="U187" s="881"/>
      <c r="V187" s="882"/>
      <c r="W187" s="834">
        <v>-1991.54</v>
      </c>
      <c r="X187" s="881"/>
      <c r="Y187" s="882"/>
      <c r="Z187" s="834">
        <v>-3364.45</v>
      </c>
      <c r="AA187" s="881"/>
      <c r="AB187" s="882"/>
      <c r="AC187" s="834">
        <v>-2537.21</v>
      </c>
      <c r="AD187" s="881"/>
      <c r="AE187" s="882"/>
      <c r="AF187" s="834">
        <v>-4460.45</v>
      </c>
      <c r="AG187" s="881"/>
      <c r="AH187" s="882"/>
      <c r="AI187" s="834">
        <v>-2411.91</v>
      </c>
      <c r="AJ187" s="881"/>
      <c r="AK187" s="882"/>
      <c r="AL187" s="834">
        <v>-1386.92</v>
      </c>
      <c r="AM187" s="881"/>
      <c r="AN187" s="882"/>
      <c r="AO187" s="834">
        <v>-2565.34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6908</v>
      </c>
      <c r="D188" s="897">
        <v>1649897.6599999995</v>
      </c>
      <c r="E188" s="898">
        <v>1100191.639999999</v>
      </c>
      <c r="F188" s="896">
        <v>388</v>
      </c>
      <c r="G188" s="897">
        <v>81958.259999999893</v>
      </c>
      <c r="H188" s="898">
        <v>52864.169999999802</v>
      </c>
      <c r="I188" s="896">
        <v>404</v>
      </c>
      <c r="J188" s="897">
        <v>86757.109999999986</v>
      </c>
      <c r="K188" s="898">
        <v>56640.570000000007</v>
      </c>
      <c r="L188" s="896">
        <v>437</v>
      </c>
      <c r="M188" s="897">
        <v>93484.340000000011</v>
      </c>
      <c r="N188" s="898">
        <v>58236.87999999999</v>
      </c>
      <c r="O188" s="896">
        <v>764</v>
      </c>
      <c r="P188" s="897">
        <v>174470.77999999991</v>
      </c>
      <c r="Q188" s="898">
        <v>109980.4</v>
      </c>
      <c r="R188" s="896">
        <v>821</v>
      </c>
      <c r="S188" s="897">
        <v>204725.33999999991</v>
      </c>
      <c r="T188" s="898">
        <v>140690.05999999991</v>
      </c>
      <c r="U188" s="896">
        <v>519</v>
      </c>
      <c r="V188" s="897">
        <v>124159.15000000001</v>
      </c>
      <c r="W188" s="898">
        <v>81842.14</v>
      </c>
      <c r="X188" s="896">
        <v>608</v>
      </c>
      <c r="Y188" s="897">
        <v>154168.79999999999</v>
      </c>
      <c r="Z188" s="898">
        <v>106067.91999999991</v>
      </c>
      <c r="AA188" s="896">
        <v>522</v>
      </c>
      <c r="AB188" s="897">
        <v>120215.65000000001</v>
      </c>
      <c r="AC188" s="898">
        <v>81594.09</v>
      </c>
      <c r="AD188" s="896">
        <v>483</v>
      </c>
      <c r="AE188" s="897">
        <v>120002.18999999978</v>
      </c>
      <c r="AF188" s="898">
        <v>75507.249999999796</v>
      </c>
      <c r="AG188" s="896">
        <v>795</v>
      </c>
      <c r="AH188" s="897">
        <v>185587.5</v>
      </c>
      <c r="AI188" s="898">
        <v>128394.82999999999</v>
      </c>
      <c r="AJ188" s="896">
        <v>754</v>
      </c>
      <c r="AK188" s="897">
        <v>193275.15999999989</v>
      </c>
      <c r="AL188" s="898">
        <v>136348.06999999969</v>
      </c>
      <c r="AM188" s="896">
        <v>413</v>
      </c>
      <c r="AN188" s="897">
        <v>111093.38</v>
      </c>
      <c r="AO188" s="898">
        <v>72025.260000000009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238.83868847712787</v>
      </c>
      <c r="E189" s="901">
        <v>0.66682417138527206</v>
      </c>
      <c r="F189" s="899"/>
      <c r="G189" s="900">
        <v>211.23262886597911</v>
      </c>
      <c r="H189" s="901">
        <v>0.64501332751573637</v>
      </c>
      <c r="I189" s="899"/>
      <c r="J189" s="900">
        <v>214.74532178217819</v>
      </c>
      <c r="K189" s="901">
        <v>0.65286372494427281</v>
      </c>
      <c r="L189" s="899"/>
      <c r="M189" s="900">
        <v>213.92297482837532</v>
      </c>
      <c r="N189" s="901">
        <v>0.62295866879950146</v>
      </c>
      <c r="O189" s="899"/>
      <c r="P189" s="900">
        <v>228.36489528795801</v>
      </c>
      <c r="Q189" s="901">
        <v>0.63036572657037504</v>
      </c>
      <c r="R189" s="899"/>
      <c r="S189" s="900">
        <v>249.36095006090122</v>
      </c>
      <c r="T189" s="901">
        <v>0.68721370788784608</v>
      </c>
      <c r="U189" s="899"/>
      <c r="V189" s="900">
        <v>239.22764932562623</v>
      </c>
      <c r="W189" s="901">
        <v>0.65917123305048397</v>
      </c>
      <c r="X189" s="899"/>
      <c r="Y189" s="900">
        <v>253.56710526315788</v>
      </c>
      <c r="Z189" s="901">
        <v>0.68799860931654078</v>
      </c>
      <c r="AA189" s="899"/>
      <c r="AB189" s="900">
        <v>230.29818007662837</v>
      </c>
      <c r="AC189" s="901">
        <v>0.67873101380727041</v>
      </c>
      <c r="AD189" s="899"/>
      <c r="AE189" s="900">
        <v>248.45173913043433</v>
      </c>
      <c r="AF189" s="901">
        <v>0.62921560014863009</v>
      </c>
      <c r="AG189" s="899"/>
      <c r="AH189" s="900">
        <v>233.4433962264151</v>
      </c>
      <c r="AI189" s="901">
        <v>0.69182908331649484</v>
      </c>
      <c r="AJ189" s="899"/>
      <c r="AK189" s="900">
        <v>256.33310344827572</v>
      </c>
      <c r="AL189" s="901">
        <v>0.705460908685833</v>
      </c>
      <c r="AM189" s="899"/>
      <c r="AN189" s="900">
        <v>268.99123486682811</v>
      </c>
      <c r="AO189" s="901">
        <v>0.64833080062916448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49996.279999999897</v>
      </c>
      <c r="E191" s="834">
        <v>2784.1699999999992</v>
      </c>
      <c r="F191" s="881">
        <v>0</v>
      </c>
      <c r="G191" s="903">
        <v>18427.5799999999</v>
      </c>
      <c r="H191" s="834">
        <v>441.259999999998</v>
      </c>
      <c r="I191" s="881">
        <v>0</v>
      </c>
      <c r="J191" s="903">
        <v>4736.22</v>
      </c>
      <c r="K191" s="834">
        <v>30.290000000000401</v>
      </c>
      <c r="L191" s="881">
        <v>0</v>
      </c>
      <c r="M191" s="903">
        <v>926.99</v>
      </c>
      <c r="N191" s="834">
        <v>281.98</v>
      </c>
      <c r="O191" s="881">
        <v>0</v>
      </c>
      <c r="P191" s="903">
        <v>2037.93</v>
      </c>
      <c r="Q191" s="834">
        <v>18.72</v>
      </c>
      <c r="R191" s="881">
        <v>0</v>
      </c>
      <c r="S191" s="903">
        <v>5830.38</v>
      </c>
      <c r="T191" s="834">
        <v>1140.3800000000001</v>
      </c>
      <c r="U191" s="881">
        <v>0</v>
      </c>
      <c r="V191" s="903">
        <v>1414.9</v>
      </c>
      <c r="W191" s="834">
        <v>139.59</v>
      </c>
      <c r="X191" s="881">
        <v>0</v>
      </c>
      <c r="Y191" s="903">
        <v>3451.71</v>
      </c>
      <c r="Z191" s="834">
        <v>111.9</v>
      </c>
      <c r="AA191" s="881">
        <v>0</v>
      </c>
      <c r="AB191" s="903">
        <v>406</v>
      </c>
      <c r="AC191" s="834">
        <v>48.5</v>
      </c>
      <c r="AD191" s="881">
        <v>0</v>
      </c>
      <c r="AE191" s="903">
        <v>176</v>
      </c>
      <c r="AF191" s="834">
        <v>65</v>
      </c>
      <c r="AG191" s="881">
        <v>0</v>
      </c>
      <c r="AH191" s="903">
        <v>799.95</v>
      </c>
      <c r="AI191" s="834">
        <v>74.95</v>
      </c>
      <c r="AJ191" s="881">
        <v>0</v>
      </c>
      <c r="AK191" s="903">
        <v>611.30999999999995</v>
      </c>
      <c r="AL191" s="834">
        <v>204.51</v>
      </c>
      <c r="AM191" s="881">
        <v>0</v>
      </c>
      <c r="AN191" s="903">
        <v>11177.31</v>
      </c>
      <c r="AO191" s="834">
        <v>227.090000000001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5.56875431532107E-2</v>
      </c>
      <c r="F192" s="883"/>
      <c r="G192" s="890"/>
      <c r="H192" s="884">
        <v>2.3945629323003911E-2</v>
      </c>
      <c r="I192" s="883"/>
      <c r="J192" s="890"/>
      <c r="K192" s="884">
        <v>6.3953954841625598E-3</v>
      </c>
      <c r="L192" s="883"/>
      <c r="M192" s="890"/>
      <c r="N192" s="884">
        <v>0.30418882620092991</v>
      </c>
      <c r="O192" s="883"/>
      <c r="P192" s="890"/>
      <c r="Q192" s="884">
        <v>9.1857914648687637E-3</v>
      </c>
      <c r="R192" s="883"/>
      <c r="S192" s="890"/>
      <c r="T192" s="884">
        <v>0.19559274009584282</v>
      </c>
      <c r="U192" s="883"/>
      <c r="V192" s="890"/>
      <c r="W192" s="884">
        <v>9.8657148915117676E-2</v>
      </c>
      <c r="X192" s="883"/>
      <c r="Y192" s="890"/>
      <c r="Z192" s="884">
        <v>3.2418714202525706E-2</v>
      </c>
      <c r="AA192" s="883"/>
      <c r="AB192" s="890"/>
      <c r="AC192" s="884">
        <v>0.11945812807881774</v>
      </c>
      <c r="AD192" s="883"/>
      <c r="AE192" s="890"/>
      <c r="AF192" s="884">
        <v>0.36931818181818182</v>
      </c>
      <c r="AG192" s="883"/>
      <c r="AH192" s="890"/>
      <c r="AI192" s="884">
        <v>9.3693355834739672E-2</v>
      </c>
      <c r="AJ192" s="883"/>
      <c r="AK192" s="890"/>
      <c r="AL192" s="884">
        <v>0.33454384845659324</v>
      </c>
      <c r="AM192" s="883"/>
      <c r="AN192" s="890"/>
      <c r="AO192" s="884">
        <v>2.0317053029754117E-2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1699893.9399999992</v>
      </c>
      <c r="E197" s="824">
        <v>1102975.8099999989</v>
      </c>
      <c r="F197" s="822"/>
      <c r="G197" s="909">
        <v>100385.83999999979</v>
      </c>
      <c r="H197" s="824">
        <v>53305.429999999797</v>
      </c>
      <c r="I197" s="822"/>
      <c r="J197" s="909">
        <v>91493.329999999987</v>
      </c>
      <c r="K197" s="824">
        <v>56670.860000000008</v>
      </c>
      <c r="L197" s="822"/>
      <c r="M197" s="909">
        <v>94411.330000000016</v>
      </c>
      <c r="N197" s="824">
        <v>58518.859999999993</v>
      </c>
      <c r="O197" s="822"/>
      <c r="P197" s="909">
        <v>176508.7099999999</v>
      </c>
      <c r="Q197" s="824">
        <v>109999.12</v>
      </c>
      <c r="R197" s="822"/>
      <c r="S197" s="909">
        <v>210555.71999999991</v>
      </c>
      <c r="T197" s="824">
        <v>141830.43999999992</v>
      </c>
      <c r="U197" s="822"/>
      <c r="V197" s="909">
        <v>125574.05</v>
      </c>
      <c r="W197" s="824">
        <v>81981.73</v>
      </c>
      <c r="X197" s="822"/>
      <c r="Y197" s="909">
        <v>157620.50999999998</v>
      </c>
      <c r="Z197" s="824">
        <v>106179.81999999991</v>
      </c>
      <c r="AA197" s="822"/>
      <c r="AB197" s="909">
        <v>120621.65000000001</v>
      </c>
      <c r="AC197" s="824">
        <v>81642.59</v>
      </c>
      <c r="AD197" s="822"/>
      <c r="AE197" s="909">
        <v>120178.18999999978</v>
      </c>
      <c r="AF197" s="824">
        <v>75572.249999999796</v>
      </c>
      <c r="AG197" s="822"/>
      <c r="AH197" s="909">
        <v>186387.45</v>
      </c>
      <c r="AI197" s="824">
        <v>128469.77999999998</v>
      </c>
      <c r="AJ197" s="822"/>
      <c r="AK197" s="909">
        <v>193886.46999999988</v>
      </c>
      <c r="AL197" s="824">
        <v>136552.5799999997</v>
      </c>
      <c r="AM197" s="822"/>
      <c r="AN197" s="909">
        <v>122270.69</v>
      </c>
      <c r="AO197" s="824">
        <v>72252.350000000006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0.64884978059278176</v>
      </c>
      <c r="F198" s="825"/>
      <c r="G198" s="826"/>
      <c r="H198" s="910">
        <v>0.53100546850033736</v>
      </c>
      <c r="I198" s="825"/>
      <c r="J198" s="826"/>
      <c r="K198" s="910">
        <v>0.61939881300636901</v>
      </c>
      <c r="L198" s="825"/>
      <c r="M198" s="826"/>
      <c r="N198" s="910">
        <v>0.61982878537989017</v>
      </c>
      <c r="O198" s="825"/>
      <c r="P198" s="826"/>
      <c r="Q198" s="910">
        <v>0.6231937222814673</v>
      </c>
      <c r="R198" s="825"/>
      <c r="S198" s="826"/>
      <c r="T198" s="910">
        <v>0.67360050821701722</v>
      </c>
      <c r="U198" s="825"/>
      <c r="V198" s="826"/>
      <c r="W198" s="910">
        <v>0.65285566564110975</v>
      </c>
      <c r="X198" s="825"/>
      <c r="Y198" s="826"/>
      <c r="Z198" s="910">
        <v>0.67364215481855705</v>
      </c>
      <c r="AA198" s="825"/>
      <c r="AB198" s="826"/>
      <c r="AC198" s="910">
        <v>0.67684855911024255</v>
      </c>
      <c r="AD198" s="825"/>
      <c r="AE198" s="826"/>
      <c r="AF198" s="910">
        <v>0.62883498245397051</v>
      </c>
      <c r="AG198" s="825"/>
      <c r="AH198" s="826"/>
      <c r="AI198" s="910">
        <v>0.68926196479430335</v>
      </c>
      <c r="AJ198" s="825"/>
      <c r="AK198" s="826"/>
      <c r="AL198" s="910">
        <v>0.70429143405416472</v>
      </c>
      <c r="AM198" s="825"/>
      <c r="AN198" s="826"/>
      <c r="AO198" s="910">
        <v>0.59092125839806742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106449.18</v>
      </c>
      <c r="F201" s="812"/>
      <c r="G201" s="820"/>
      <c r="H201" s="834">
        <v>10325.799999999999</v>
      </c>
      <c r="I201" s="812"/>
      <c r="J201" s="820"/>
      <c r="K201" s="834">
        <v>7213.02</v>
      </c>
      <c r="L201" s="812"/>
      <c r="M201" s="820"/>
      <c r="N201" s="834">
        <v>7629.12</v>
      </c>
      <c r="O201" s="812"/>
      <c r="P201" s="820"/>
      <c r="Q201" s="834">
        <v>8159.54</v>
      </c>
      <c r="R201" s="812"/>
      <c r="S201" s="820"/>
      <c r="T201" s="834">
        <v>10212.879999999999</v>
      </c>
      <c r="U201" s="812"/>
      <c r="V201" s="820"/>
      <c r="W201" s="834">
        <v>6087.28</v>
      </c>
      <c r="X201" s="812"/>
      <c r="Y201" s="820"/>
      <c r="Z201" s="834">
        <v>7802.49</v>
      </c>
      <c r="AA201" s="812"/>
      <c r="AB201" s="820"/>
      <c r="AC201" s="834">
        <v>5178.4799999999996</v>
      </c>
      <c r="AD201" s="812"/>
      <c r="AE201" s="820"/>
      <c r="AF201" s="834">
        <v>9296.8799999999992</v>
      </c>
      <c r="AG201" s="812"/>
      <c r="AH201" s="820"/>
      <c r="AI201" s="834">
        <v>13005.57</v>
      </c>
      <c r="AJ201" s="812"/>
      <c r="AK201" s="820"/>
      <c r="AL201" s="834">
        <v>11433.39</v>
      </c>
      <c r="AM201" s="812"/>
      <c r="AN201" s="820"/>
      <c r="AO201" s="834">
        <v>10104.73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58715.180000000008</v>
      </c>
      <c r="F202" s="812"/>
      <c r="G202" s="820"/>
      <c r="H202" s="834">
        <v>4144.93</v>
      </c>
      <c r="I202" s="812"/>
      <c r="J202" s="820"/>
      <c r="K202" s="834">
        <v>4550.99</v>
      </c>
      <c r="L202" s="812"/>
      <c r="M202" s="820"/>
      <c r="N202" s="834">
        <v>5016.2</v>
      </c>
      <c r="O202" s="812"/>
      <c r="P202" s="820"/>
      <c r="Q202" s="834">
        <v>4621.95</v>
      </c>
      <c r="R202" s="812"/>
      <c r="S202" s="820"/>
      <c r="T202" s="834">
        <v>5992.31</v>
      </c>
      <c r="U202" s="812"/>
      <c r="V202" s="820"/>
      <c r="W202" s="834">
        <v>4698.12</v>
      </c>
      <c r="X202" s="812"/>
      <c r="Y202" s="820"/>
      <c r="Z202" s="834">
        <v>3844.26</v>
      </c>
      <c r="AA202" s="812"/>
      <c r="AB202" s="820"/>
      <c r="AC202" s="834">
        <v>4973.54</v>
      </c>
      <c r="AD202" s="812"/>
      <c r="AE202" s="820"/>
      <c r="AF202" s="834">
        <v>4601.2700000000004</v>
      </c>
      <c r="AG202" s="812"/>
      <c r="AH202" s="820"/>
      <c r="AI202" s="834">
        <v>5058.6099999999997</v>
      </c>
      <c r="AJ202" s="812"/>
      <c r="AK202" s="820"/>
      <c r="AL202" s="834">
        <v>5254.98</v>
      </c>
      <c r="AM202" s="812"/>
      <c r="AN202" s="820"/>
      <c r="AO202" s="834">
        <v>5958.02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66716.289999999994</v>
      </c>
      <c r="F203" s="842"/>
      <c r="G203" s="843"/>
      <c r="H203" s="844">
        <v>4515.24</v>
      </c>
      <c r="I203" s="842"/>
      <c r="J203" s="843"/>
      <c r="K203" s="844">
        <v>3915.33</v>
      </c>
      <c r="L203" s="842"/>
      <c r="M203" s="843"/>
      <c r="N203" s="844">
        <v>4656.3500000000004</v>
      </c>
      <c r="O203" s="842"/>
      <c r="P203" s="843"/>
      <c r="Q203" s="844">
        <v>8534</v>
      </c>
      <c r="R203" s="842"/>
      <c r="S203" s="843"/>
      <c r="T203" s="844">
        <v>7265.5</v>
      </c>
      <c r="U203" s="842"/>
      <c r="V203" s="843"/>
      <c r="W203" s="844">
        <v>4219.9399999999996</v>
      </c>
      <c r="X203" s="842"/>
      <c r="Y203" s="843"/>
      <c r="Z203" s="844">
        <v>4358.63</v>
      </c>
      <c r="AA203" s="842"/>
      <c r="AB203" s="843"/>
      <c r="AC203" s="844">
        <v>1451.93</v>
      </c>
      <c r="AD203" s="842"/>
      <c r="AE203" s="843"/>
      <c r="AF203" s="844">
        <v>4542.45</v>
      </c>
      <c r="AG203" s="842"/>
      <c r="AH203" s="843"/>
      <c r="AI203" s="844">
        <v>9581.2000000000007</v>
      </c>
      <c r="AJ203" s="842"/>
      <c r="AK203" s="843"/>
      <c r="AL203" s="844">
        <v>10033.18</v>
      </c>
      <c r="AM203" s="842"/>
      <c r="AN203" s="843"/>
      <c r="AO203" s="844">
        <v>3642.54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145388.35999999999</v>
      </c>
      <c r="F204" s="812"/>
      <c r="G204" s="820"/>
      <c r="H204" s="834">
        <v>5820.12</v>
      </c>
      <c r="I204" s="812"/>
      <c r="J204" s="820"/>
      <c r="K204" s="834">
        <v>7346.36</v>
      </c>
      <c r="L204" s="812"/>
      <c r="M204" s="820"/>
      <c r="N204" s="834">
        <v>7315.36</v>
      </c>
      <c r="O204" s="812"/>
      <c r="P204" s="820"/>
      <c r="Q204" s="834">
        <v>12116.41</v>
      </c>
      <c r="R204" s="812"/>
      <c r="S204" s="820"/>
      <c r="T204" s="834">
        <v>17092.900000000001</v>
      </c>
      <c r="U204" s="812"/>
      <c r="V204" s="820"/>
      <c r="W204" s="834">
        <v>14791.16</v>
      </c>
      <c r="X204" s="812"/>
      <c r="Y204" s="820"/>
      <c r="Z204" s="834">
        <v>11978.69</v>
      </c>
      <c r="AA204" s="812"/>
      <c r="AB204" s="820"/>
      <c r="AC204" s="834">
        <v>8653.68</v>
      </c>
      <c r="AD204" s="812"/>
      <c r="AE204" s="820"/>
      <c r="AF204" s="834">
        <v>12462.65</v>
      </c>
      <c r="AG204" s="812"/>
      <c r="AH204" s="820"/>
      <c r="AI204" s="834">
        <v>15814.28</v>
      </c>
      <c r="AJ204" s="812"/>
      <c r="AK204" s="820"/>
      <c r="AL204" s="834">
        <v>15341.02</v>
      </c>
      <c r="AM204" s="812"/>
      <c r="AN204" s="820"/>
      <c r="AO204" s="834">
        <v>16655.73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/>
      <c r="I205" s="812"/>
      <c r="J205" s="820"/>
      <c r="K205" s="834"/>
      <c r="L205" s="812"/>
      <c r="M205" s="820"/>
      <c r="N205" s="834"/>
      <c r="O205" s="812"/>
      <c r="P205" s="820"/>
      <c r="Q205" s="834"/>
      <c r="R205" s="812"/>
      <c r="S205" s="820"/>
      <c r="T205" s="834"/>
      <c r="U205" s="812"/>
      <c r="V205" s="820"/>
      <c r="W205" s="834"/>
      <c r="X205" s="812"/>
      <c r="Y205" s="820"/>
      <c r="Z205" s="834"/>
      <c r="AA205" s="812"/>
      <c r="AB205" s="820"/>
      <c r="AC205" s="834"/>
      <c r="AD205" s="812"/>
      <c r="AE205" s="820"/>
      <c r="AF205" s="834"/>
      <c r="AG205" s="812"/>
      <c r="AH205" s="820"/>
      <c r="AI205" s="834"/>
      <c r="AJ205" s="812"/>
      <c r="AK205" s="820"/>
      <c r="AL205" s="834"/>
      <c r="AM205" s="812"/>
      <c r="AN205" s="820"/>
      <c r="AO205" s="834"/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94283.599999999991</v>
      </c>
      <c r="F208" s="812"/>
      <c r="G208" s="820"/>
      <c r="H208" s="834">
        <v>9838.67</v>
      </c>
      <c r="I208" s="812"/>
      <c r="J208" s="820"/>
      <c r="K208" s="834">
        <v>7756.48</v>
      </c>
      <c r="L208" s="812"/>
      <c r="M208" s="820"/>
      <c r="N208" s="834">
        <v>8465.07</v>
      </c>
      <c r="O208" s="812"/>
      <c r="P208" s="820"/>
      <c r="Q208" s="834">
        <v>3656.35</v>
      </c>
      <c r="R208" s="812"/>
      <c r="S208" s="820"/>
      <c r="T208" s="834">
        <v>8531.0499999999993</v>
      </c>
      <c r="U208" s="812"/>
      <c r="V208" s="820"/>
      <c r="W208" s="834">
        <v>6304.75</v>
      </c>
      <c r="X208" s="812"/>
      <c r="Y208" s="820"/>
      <c r="Z208" s="834">
        <v>6574.63</v>
      </c>
      <c r="AA208" s="812"/>
      <c r="AB208" s="820"/>
      <c r="AC208" s="834">
        <v>5424.09</v>
      </c>
      <c r="AD208" s="812"/>
      <c r="AE208" s="820"/>
      <c r="AF208" s="834">
        <v>6859.45</v>
      </c>
      <c r="AG208" s="812"/>
      <c r="AH208" s="820"/>
      <c r="AI208" s="834">
        <v>8709.2900000000009</v>
      </c>
      <c r="AJ208" s="812"/>
      <c r="AK208" s="820"/>
      <c r="AL208" s="834">
        <v>6133.75</v>
      </c>
      <c r="AM208" s="812"/>
      <c r="AN208" s="820"/>
      <c r="AO208" s="834">
        <v>16030.02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119091.77000000002</v>
      </c>
      <c r="F209" s="842"/>
      <c r="G209" s="843"/>
      <c r="H209" s="844">
        <v>8912.5</v>
      </c>
      <c r="I209" s="842"/>
      <c r="J209" s="843"/>
      <c r="K209" s="844">
        <v>7763.9</v>
      </c>
      <c r="L209" s="842"/>
      <c r="M209" s="843"/>
      <c r="N209" s="844">
        <v>8772.86</v>
      </c>
      <c r="O209" s="842"/>
      <c r="P209" s="843"/>
      <c r="Q209" s="844">
        <v>9937.5</v>
      </c>
      <c r="R209" s="842"/>
      <c r="S209" s="843"/>
      <c r="T209" s="844">
        <v>11863.05</v>
      </c>
      <c r="U209" s="842"/>
      <c r="V209" s="843"/>
      <c r="W209" s="844">
        <v>9477.68</v>
      </c>
      <c r="X209" s="842"/>
      <c r="Y209" s="843"/>
      <c r="Z209" s="844">
        <v>11172.14</v>
      </c>
      <c r="AA209" s="842"/>
      <c r="AB209" s="843"/>
      <c r="AC209" s="844">
        <v>9537.57</v>
      </c>
      <c r="AD209" s="842"/>
      <c r="AE209" s="843"/>
      <c r="AF209" s="844">
        <v>8617.6</v>
      </c>
      <c r="AG209" s="842"/>
      <c r="AH209" s="843"/>
      <c r="AI209" s="844">
        <v>12168.59</v>
      </c>
      <c r="AJ209" s="842"/>
      <c r="AK209" s="843"/>
      <c r="AL209" s="844">
        <v>11073.56</v>
      </c>
      <c r="AM209" s="842"/>
      <c r="AN209" s="843"/>
      <c r="AO209" s="844">
        <v>9794.82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51275.560000000005</v>
      </c>
      <c r="F210" s="812"/>
      <c r="G210" s="820"/>
      <c r="H210" s="834">
        <v>4696.3999999999996</v>
      </c>
      <c r="I210" s="812"/>
      <c r="J210" s="820"/>
      <c r="K210" s="834">
        <v>5051.79</v>
      </c>
      <c r="L210" s="812"/>
      <c r="M210" s="820"/>
      <c r="N210" s="834">
        <v>4406.28</v>
      </c>
      <c r="O210" s="812"/>
      <c r="P210" s="820"/>
      <c r="Q210" s="834">
        <v>4285.6000000000004</v>
      </c>
      <c r="R210" s="812"/>
      <c r="S210" s="820"/>
      <c r="T210" s="834">
        <v>4322.59</v>
      </c>
      <c r="U210" s="812"/>
      <c r="V210" s="820"/>
      <c r="W210" s="834">
        <v>3595.46</v>
      </c>
      <c r="X210" s="812"/>
      <c r="Y210" s="820"/>
      <c r="Z210" s="834">
        <v>4627.91</v>
      </c>
      <c r="AA210" s="812"/>
      <c r="AB210" s="820"/>
      <c r="AC210" s="834">
        <v>4254.6899999999996</v>
      </c>
      <c r="AD210" s="812"/>
      <c r="AE210" s="820"/>
      <c r="AF210" s="834">
        <v>3787.46</v>
      </c>
      <c r="AG210" s="812"/>
      <c r="AH210" s="820"/>
      <c r="AI210" s="834">
        <v>4869.6099999999997</v>
      </c>
      <c r="AJ210" s="812"/>
      <c r="AK210" s="820"/>
      <c r="AL210" s="834">
        <v>3329.59</v>
      </c>
      <c r="AM210" s="812"/>
      <c r="AN210" s="820"/>
      <c r="AO210" s="834">
        <v>4048.18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14532.21</v>
      </c>
      <c r="F211" s="812"/>
      <c r="G211" s="820"/>
      <c r="H211" s="834">
        <v>1059.68</v>
      </c>
      <c r="I211" s="812"/>
      <c r="J211" s="820"/>
      <c r="K211" s="834">
        <v>1241.3900000000001</v>
      </c>
      <c r="L211" s="812"/>
      <c r="M211" s="820"/>
      <c r="N211" s="834">
        <v>1023.64</v>
      </c>
      <c r="O211" s="812"/>
      <c r="P211" s="820"/>
      <c r="Q211" s="834">
        <v>1263.33</v>
      </c>
      <c r="R211" s="812"/>
      <c r="S211" s="820"/>
      <c r="T211" s="834">
        <v>1448.81</v>
      </c>
      <c r="U211" s="812"/>
      <c r="V211" s="820"/>
      <c r="W211" s="834">
        <v>1114.99</v>
      </c>
      <c r="X211" s="812"/>
      <c r="Y211" s="820"/>
      <c r="Z211" s="834">
        <v>893.99</v>
      </c>
      <c r="AA211" s="812"/>
      <c r="AB211" s="820"/>
      <c r="AC211" s="834">
        <v>1117.82</v>
      </c>
      <c r="AD211" s="812"/>
      <c r="AE211" s="820"/>
      <c r="AF211" s="834">
        <v>1035.9000000000001</v>
      </c>
      <c r="AG211" s="812"/>
      <c r="AH211" s="820"/>
      <c r="AI211" s="834">
        <v>1646.95</v>
      </c>
      <c r="AJ211" s="812"/>
      <c r="AK211" s="820"/>
      <c r="AL211" s="834">
        <v>1482.15</v>
      </c>
      <c r="AM211" s="812"/>
      <c r="AN211" s="820"/>
      <c r="AO211" s="834">
        <v>1203.56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0.59516459386357767</v>
      </c>
      <c r="E213" s="841">
        <v>656452.14999999991</v>
      </c>
      <c r="F213" s="839" t="s">
        <v>162</v>
      </c>
      <c r="G213" s="840">
        <v>0</v>
      </c>
      <c r="H213" s="841">
        <v>49313.340000000004</v>
      </c>
      <c r="I213" s="839" t="s">
        <v>162</v>
      </c>
      <c r="J213" s="840">
        <v>0</v>
      </c>
      <c r="K213" s="841">
        <v>44839.26</v>
      </c>
      <c r="L213" s="839" t="s">
        <v>162</v>
      </c>
      <c r="M213" s="840">
        <v>0</v>
      </c>
      <c r="N213" s="841">
        <v>47284.88</v>
      </c>
      <c r="O213" s="839" t="s">
        <v>162</v>
      </c>
      <c r="P213" s="840">
        <v>0</v>
      </c>
      <c r="Q213" s="841">
        <v>52574.679999999993</v>
      </c>
      <c r="R213" s="839" t="s">
        <v>162</v>
      </c>
      <c r="S213" s="840">
        <v>0</v>
      </c>
      <c r="T213" s="841">
        <v>66729.09</v>
      </c>
      <c r="U213" s="839" t="s">
        <v>162</v>
      </c>
      <c r="V213" s="840">
        <v>0</v>
      </c>
      <c r="W213" s="841">
        <v>50289.38</v>
      </c>
      <c r="X213" s="839" t="s">
        <v>162</v>
      </c>
      <c r="Y213" s="840">
        <v>0</v>
      </c>
      <c r="Z213" s="841">
        <v>51252.74</v>
      </c>
      <c r="AA213" s="839" t="s">
        <v>162</v>
      </c>
      <c r="AB213" s="840">
        <v>0</v>
      </c>
      <c r="AC213" s="841">
        <v>40591.800000000003</v>
      </c>
      <c r="AD213" s="839" t="s">
        <v>162</v>
      </c>
      <c r="AE213" s="840">
        <v>0</v>
      </c>
      <c r="AF213" s="841">
        <v>51203.659999999996</v>
      </c>
      <c r="AG213" s="839" t="s">
        <v>162</v>
      </c>
      <c r="AH213" s="840">
        <v>0</v>
      </c>
      <c r="AI213" s="841">
        <v>70854.100000000006</v>
      </c>
      <c r="AJ213" s="839" t="s">
        <v>162</v>
      </c>
      <c r="AK213" s="840">
        <v>0</v>
      </c>
      <c r="AL213" s="841">
        <v>64081.62</v>
      </c>
      <c r="AM213" s="839" t="s">
        <v>162</v>
      </c>
      <c r="AN213" s="840">
        <v>0</v>
      </c>
      <c r="AO213" s="841">
        <v>67437.600000000006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76296.850000000006</v>
      </c>
      <c r="F214" s="812"/>
      <c r="G214" s="820"/>
      <c r="H214" s="834">
        <v>4159.97</v>
      </c>
      <c r="I214" s="812"/>
      <c r="J214" s="820"/>
      <c r="K214" s="834">
        <v>4445.38</v>
      </c>
      <c r="L214" s="812"/>
      <c r="M214" s="820"/>
      <c r="N214" s="834">
        <v>7946.69</v>
      </c>
      <c r="O214" s="812"/>
      <c r="P214" s="820"/>
      <c r="Q214" s="834">
        <v>7062.93</v>
      </c>
      <c r="R214" s="812"/>
      <c r="S214" s="820"/>
      <c r="T214" s="834">
        <v>7447.94</v>
      </c>
      <c r="U214" s="812"/>
      <c r="V214" s="820"/>
      <c r="W214" s="834">
        <v>4098.54</v>
      </c>
      <c r="X214" s="812"/>
      <c r="Y214" s="820"/>
      <c r="Z214" s="834">
        <v>4679.3999999999996</v>
      </c>
      <c r="AA214" s="812"/>
      <c r="AB214" s="820"/>
      <c r="AC214" s="834">
        <v>4115.96</v>
      </c>
      <c r="AD214" s="812"/>
      <c r="AE214" s="820"/>
      <c r="AF214" s="834">
        <v>7320.4</v>
      </c>
      <c r="AG214" s="812"/>
      <c r="AH214" s="820"/>
      <c r="AI214" s="834">
        <v>4720.4399999999996</v>
      </c>
      <c r="AJ214" s="812"/>
      <c r="AK214" s="820"/>
      <c r="AL214" s="834">
        <v>13862.87</v>
      </c>
      <c r="AM214" s="812"/>
      <c r="AN214" s="820"/>
      <c r="AO214" s="834">
        <v>6436.33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38735.719999999979</v>
      </c>
      <c r="F215" s="812"/>
      <c r="G215" s="820"/>
      <c r="H215" s="834">
        <v>2160.16</v>
      </c>
      <c r="I215" s="812"/>
      <c r="J215" s="820"/>
      <c r="K215" s="834">
        <v>1602.15</v>
      </c>
      <c r="L215" s="812"/>
      <c r="M215" s="820"/>
      <c r="N215" s="834">
        <v>2338.5299999999902</v>
      </c>
      <c r="O215" s="812"/>
      <c r="P215" s="820"/>
      <c r="Q215" s="834">
        <v>2513.5</v>
      </c>
      <c r="R215" s="812"/>
      <c r="S215" s="820"/>
      <c r="T215" s="834">
        <v>4070.9399999999901</v>
      </c>
      <c r="U215" s="812"/>
      <c r="V215" s="820"/>
      <c r="W215" s="834">
        <v>2633</v>
      </c>
      <c r="X215" s="812"/>
      <c r="Y215" s="820"/>
      <c r="Z215" s="834">
        <v>5937.46</v>
      </c>
      <c r="AA215" s="812"/>
      <c r="AB215" s="820"/>
      <c r="AC215" s="834">
        <v>1800.15</v>
      </c>
      <c r="AD215" s="812"/>
      <c r="AE215" s="820"/>
      <c r="AF215" s="834">
        <v>1948.28</v>
      </c>
      <c r="AG215" s="812"/>
      <c r="AH215" s="820"/>
      <c r="AI215" s="834">
        <v>4386.93</v>
      </c>
      <c r="AJ215" s="812"/>
      <c r="AK215" s="820"/>
      <c r="AL215" s="834">
        <v>3747.66</v>
      </c>
      <c r="AM215" s="812"/>
      <c r="AN215" s="820"/>
      <c r="AO215" s="834">
        <v>5596.96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59170.969999999987</v>
      </c>
      <c r="F216" s="838"/>
      <c r="G216" s="845"/>
      <c r="H216" s="837">
        <v>3850.35</v>
      </c>
      <c r="I216" s="838"/>
      <c r="J216" s="845"/>
      <c r="K216" s="837">
        <v>4897.2</v>
      </c>
      <c r="L216" s="838"/>
      <c r="M216" s="845"/>
      <c r="N216" s="837">
        <v>-2938.94</v>
      </c>
      <c r="O216" s="838"/>
      <c r="P216" s="845"/>
      <c r="Q216" s="837">
        <v>4922.0499999999902</v>
      </c>
      <c r="R216" s="838"/>
      <c r="S216" s="845"/>
      <c r="T216" s="837">
        <v>5216.07</v>
      </c>
      <c r="U216" s="838"/>
      <c r="V216" s="845"/>
      <c r="W216" s="837">
        <v>5432.36</v>
      </c>
      <c r="X216" s="838"/>
      <c r="Y216" s="845"/>
      <c r="Z216" s="837">
        <v>6651.28</v>
      </c>
      <c r="AA216" s="838"/>
      <c r="AB216" s="845"/>
      <c r="AC216" s="837">
        <v>5294.89</v>
      </c>
      <c r="AD216" s="838"/>
      <c r="AE216" s="845"/>
      <c r="AF216" s="837">
        <v>4543.43</v>
      </c>
      <c r="AG216" s="838"/>
      <c r="AH216" s="845"/>
      <c r="AI216" s="837">
        <v>5749.36</v>
      </c>
      <c r="AJ216" s="838"/>
      <c r="AK216" s="845"/>
      <c r="AL216" s="837">
        <v>8311.58</v>
      </c>
      <c r="AM216" s="838"/>
      <c r="AN216" s="845"/>
      <c r="AO216" s="837">
        <v>7241.34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68693.52</v>
      </c>
      <c r="F217" s="812"/>
      <c r="G217" s="820"/>
      <c r="H217" s="834">
        <v>5840.15</v>
      </c>
      <c r="I217" s="812"/>
      <c r="J217" s="820"/>
      <c r="K217" s="834">
        <v>5298.05</v>
      </c>
      <c r="L217" s="812"/>
      <c r="M217" s="820"/>
      <c r="N217" s="834">
        <v>5288.06</v>
      </c>
      <c r="O217" s="812"/>
      <c r="P217" s="820"/>
      <c r="Q217" s="834">
        <v>5548.89</v>
      </c>
      <c r="R217" s="812"/>
      <c r="S217" s="820"/>
      <c r="T217" s="834">
        <v>5478.25</v>
      </c>
      <c r="U217" s="812"/>
      <c r="V217" s="820"/>
      <c r="W217" s="834">
        <v>5512.51</v>
      </c>
      <c r="X217" s="812"/>
      <c r="Y217" s="820"/>
      <c r="Z217" s="834">
        <v>5592.82</v>
      </c>
      <c r="AA217" s="812"/>
      <c r="AB217" s="820"/>
      <c r="AC217" s="834">
        <v>6311.06</v>
      </c>
      <c r="AD217" s="812"/>
      <c r="AE217" s="820"/>
      <c r="AF217" s="834">
        <v>5458.02</v>
      </c>
      <c r="AG217" s="812"/>
      <c r="AH217" s="820"/>
      <c r="AI217" s="834">
        <v>6363.22</v>
      </c>
      <c r="AJ217" s="812"/>
      <c r="AK217" s="820"/>
      <c r="AL217" s="834">
        <v>5624.18</v>
      </c>
      <c r="AM217" s="812"/>
      <c r="AN217" s="820"/>
      <c r="AO217" s="834">
        <v>6378.31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7242.4199999999983</v>
      </c>
      <c r="F218" s="812"/>
      <c r="G218" s="820"/>
      <c r="H218" s="834">
        <v>313.06</v>
      </c>
      <c r="I218" s="812"/>
      <c r="J218" s="820"/>
      <c r="K218" s="834">
        <v>371.21</v>
      </c>
      <c r="L218" s="812"/>
      <c r="M218" s="820"/>
      <c r="N218" s="834">
        <v>3691.38</v>
      </c>
      <c r="O218" s="812"/>
      <c r="P218" s="820"/>
      <c r="Q218" s="834">
        <v>885.31</v>
      </c>
      <c r="R218" s="812"/>
      <c r="S218" s="820"/>
      <c r="T218" s="834">
        <v>418.95</v>
      </c>
      <c r="U218" s="812"/>
      <c r="V218" s="820"/>
      <c r="W218" s="834">
        <v>240.52</v>
      </c>
      <c r="X218" s="812"/>
      <c r="Y218" s="820"/>
      <c r="Z218" s="834">
        <v>-479.83</v>
      </c>
      <c r="AA218" s="812"/>
      <c r="AB218" s="820"/>
      <c r="AC218" s="834">
        <v>362.84</v>
      </c>
      <c r="AD218" s="812"/>
      <c r="AE218" s="820"/>
      <c r="AF218" s="834">
        <v>404.77</v>
      </c>
      <c r="AG218" s="812"/>
      <c r="AH218" s="820"/>
      <c r="AI218" s="834">
        <v>555.9</v>
      </c>
      <c r="AJ218" s="812"/>
      <c r="AK218" s="820"/>
      <c r="AL218" s="834">
        <v>491.23</v>
      </c>
      <c r="AM218" s="812"/>
      <c r="AN218" s="820"/>
      <c r="AO218" s="834">
        <v>-12.92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70034.760000000009</v>
      </c>
      <c r="F219" s="838"/>
      <c r="G219" s="845"/>
      <c r="H219" s="837">
        <v>4053.93</v>
      </c>
      <c r="I219" s="838"/>
      <c r="J219" s="845"/>
      <c r="K219" s="837">
        <v>4472.47</v>
      </c>
      <c r="L219" s="838"/>
      <c r="M219" s="845"/>
      <c r="N219" s="837">
        <v>6248.69</v>
      </c>
      <c r="O219" s="838"/>
      <c r="P219" s="845"/>
      <c r="Q219" s="837">
        <v>5229</v>
      </c>
      <c r="R219" s="838"/>
      <c r="S219" s="845"/>
      <c r="T219" s="837">
        <v>6675.26</v>
      </c>
      <c r="U219" s="838"/>
      <c r="V219" s="845"/>
      <c r="W219" s="837">
        <v>7189.94</v>
      </c>
      <c r="X219" s="838"/>
      <c r="Y219" s="845"/>
      <c r="Z219" s="837">
        <v>5555.76</v>
      </c>
      <c r="AA219" s="838"/>
      <c r="AB219" s="845"/>
      <c r="AC219" s="837">
        <v>4969.43</v>
      </c>
      <c r="AD219" s="838"/>
      <c r="AE219" s="845"/>
      <c r="AF219" s="837">
        <v>4402.0600000000004</v>
      </c>
      <c r="AG219" s="838"/>
      <c r="AH219" s="845"/>
      <c r="AI219" s="837">
        <v>8677.14</v>
      </c>
      <c r="AJ219" s="838"/>
      <c r="AK219" s="845"/>
      <c r="AL219" s="837">
        <v>8141.26</v>
      </c>
      <c r="AM219" s="838"/>
      <c r="AN219" s="845"/>
      <c r="AO219" s="837">
        <v>4419.82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14561.639999999998</v>
      </c>
      <c r="F221" s="812"/>
      <c r="G221" s="820"/>
      <c r="H221" s="834">
        <v>1174.55</v>
      </c>
      <c r="I221" s="812"/>
      <c r="J221" s="820"/>
      <c r="K221" s="834">
        <v>988.21</v>
      </c>
      <c r="L221" s="812"/>
      <c r="M221" s="820"/>
      <c r="N221" s="834">
        <v>2130.4699999999998</v>
      </c>
      <c r="O221" s="812"/>
      <c r="P221" s="820"/>
      <c r="Q221" s="834">
        <v>-28.96</v>
      </c>
      <c r="R221" s="812"/>
      <c r="S221" s="820"/>
      <c r="T221" s="834">
        <v>663.88</v>
      </c>
      <c r="U221" s="812"/>
      <c r="V221" s="820"/>
      <c r="W221" s="834">
        <v>765.73</v>
      </c>
      <c r="X221" s="812"/>
      <c r="Y221" s="820"/>
      <c r="Z221" s="834">
        <v>1021.89</v>
      </c>
      <c r="AA221" s="812"/>
      <c r="AB221" s="820"/>
      <c r="AC221" s="834">
        <v>1503.46</v>
      </c>
      <c r="AD221" s="812"/>
      <c r="AE221" s="820"/>
      <c r="AF221" s="834">
        <v>520.05999999999995</v>
      </c>
      <c r="AG221" s="812"/>
      <c r="AH221" s="820"/>
      <c r="AI221" s="834">
        <v>2212.33</v>
      </c>
      <c r="AJ221" s="812"/>
      <c r="AK221" s="820"/>
      <c r="AL221" s="834">
        <v>527.96</v>
      </c>
      <c r="AM221" s="812"/>
      <c r="AN221" s="820"/>
      <c r="AO221" s="834">
        <v>3082.06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13543.330000000002</v>
      </c>
      <c r="F222" s="812"/>
      <c r="G222" s="820"/>
      <c r="H222" s="834">
        <v>888.43</v>
      </c>
      <c r="I222" s="812"/>
      <c r="J222" s="820"/>
      <c r="K222" s="834">
        <v>834.79</v>
      </c>
      <c r="L222" s="812"/>
      <c r="M222" s="820"/>
      <c r="N222" s="834">
        <v>920.35</v>
      </c>
      <c r="O222" s="812"/>
      <c r="P222" s="820"/>
      <c r="Q222" s="834">
        <v>1182</v>
      </c>
      <c r="R222" s="812"/>
      <c r="S222" s="820"/>
      <c r="T222" s="834">
        <v>563.67999999999995</v>
      </c>
      <c r="U222" s="812"/>
      <c r="V222" s="820"/>
      <c r="W222" s="834">
        <v>1192.3800000000001</v>
      </c>
      <c r="X222" s="812"/>
      <c r="Y222" s="820"/>
      <c r="Z222" s="834">
        <v>1297.26</v>
      </c>
      <c r="AA222" s="812"/>
      <c r="AB222" s="820"/>
      <c r="AC222" s="834">
        <v>1583.58</v>
      </c>
      <c r="AD222" s="812"/>
      <c r="AE222" s="820"/>
      <c r="AF222" s="834">
        <v>1072.2</v>
      </c>
      <c r="AG222" s="812"/>
      <c r="AH222" s="820"/>
      <c r="AI222" s="834">
        <v>739.84</v>
      </c>
      <c r="AJ222" s="812"/>
      <c r="AK222" s="820"/>
      <c r="AL222" s="834">
        <v>2026.62</v>
      </c>
      <c r="AM222" s="812"/>
      <c r="AN222" s="820"/>
      <c r="AO222" s="834">
        <v>1242.2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4116.9699999999993</v>
      </c>
      <c r="F223" s="812"/>
      <c r="G223" s="820"/>
      <c r="H223" s="834">
        <v>156.81</v>
      </c>
      <c r="I223" s="812"/>
      <c r="J223" s="820"/>
      <c r="K223" s="834">
        <v>388.79</v>
      </c>
      <c r="L223" s="812"/>
      <c r="M223" s="820"/>
      <c r="N223" s="834">
        <v>576.83000000000004</v>
      </c>
      <c r="O223" s="812"/>
      <c r="P223" s="820"/>
      <c r="Q223" s="834">
        <v>464.49</v>
      </c>
      <c r="R223" s="812"/>
      <c r="S223" s="820"/>
      <c r="T223" s="834">
        <v>343.72</v>
      </c>
      <c r="U223" s="812"/>
      <c r="V223" s="820"/>
      <c r="W223" s="834">
        <v>251.4</v>
      </c>
      <c r="X223" s="812"/>
      <c r="Y223" s="820"/>
      <c r="Z223" s="834">
        <v>375.66</v>
      </c>
      <c r="AA223" s="812"/>
      <c r="AB223" s="820"/>
      <c r="AC223" s="834">
        <v>442.41</v>
      </c>
      <c r="AD223" s="812"/>
      <c r="AE223" s="820"/>
      <c r="AF223" s="834">
        <v>168.13</v>
      </c>
      <c r="AG223" s="812"/>
      <c r="AH223" s="820"/>
      <c r="AI223" s="834">
        <v>428.36</v>
      </c>
      <c r="AJ223" s="812"/>
      <c r="AK223" s="820"/>
      <c r="AL223" s="834">
        <v>278.7</v>
      </c>
      <c r="AM223" s="812"/>
      <c r="AN223" s="820"/>
      <c r="AO223" s="834">
        <v>241.67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1381.67</v>
      </c>
      <c r="F224" s="812"/>
      <c r="G224" s="820"/>
      <c r="H224" s="834">
        <v>98.23</v>
      </c>
      <c r="I224" s="812"/>
      <c r="J224" s="820"/>
      <c r="K224" s="834">
        <v>97.98</v>
      </c>
      <c r="L224" s="812"/>
      <c r="M224" s="820"/>
      <c r="N224" s="834">
        <v>122.75</v>
      </c>
      <c r="O224" s="812"/>
      <c r="P224" s="820"/>
      <c r="Q224" s="834">
        <v>114.27</v>
      </c>
      <c r="R224" s="812"/>
      <c r="S224" s="820"/>
      <c r="T224" s="834">
        <v>106.7</v>
      </c>
      <c r="U224" s="812"/>
      <c r="V224" s="820"/>
      <c r="W224" s="834">
        <v>166.04</v>
      </c>
      <c r="X224" s="812"/>
      <c r="Y224" s="820"/>
      <c r="Z224" s="834">
        <v>83.34</v>
      </c>
      <c r="AA224" s="812"/>
      <c r="AB224" s="820"/>
      <c r="AC224" s="834">
        <v>61.37</v>
      </c>
      <c r="AD224" s="812"/>
      <c r="AE224" s="820"/>
      <c r="AF224" s="834">
        <v>69.62</v>
      </c>
      <c r="AG224" s="812"/>
      <c r="AH224" s="820"/>
      <c r="AI224" s="834">
        <v>73.459999999999994</v>
      </c>
      <c r="AJ224" s="812"/>
      <c r="AK224" s="820"/>
      <c r="AL224" s="834">
        <v>277.70999999999998</v>
      </c>
      <c r="AM224" s="812"/>
      <c r="AN224" s="820"/>
      <c r="AO224" s="834">
        <v>110.2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1474.79</v>
      </c>
      <c r="F225" s="812"/>
      <c r="G225" s="820"/>
      <c r="H225" s="834">
        <v>25.41</v>
      </c>
      <c r="I225" s="812"/>
      <c r="J225" s="820"/>
      <c r="K225" s="834">
        <v>58.35</v>
      </c>
      <c r="L225" s="812"/>
      <c r="M225" s="820"/>
      <c r="N225" s="834">
        <v>67.819999999999993</v>
      </c>
      <c r="O225" s="812"/>
      <c r="P225" s="820"/>
      <c r="Q225" s="834">
        <v>158.36000000000001</v>
      </c>
      <c r="R225" s="812"/>
      <c r="S225" s="820"/>
      <c r="T225" s="834">
        <v>226.25</v>
      </c>
      <c r="U225" s="812"/>
      <c r="V225" s="820"/>
      <c r="W225" s="834">
        <v>101.88</v>
      </c>
      <c r="X225" s="812"/>
      <c r="Y225" s="820"/>
      <c r="Z225" s="834">
        <v>74.459999999999994</v>
      </c>
      <c r="AA225" s="812"/>
      <c r="AB225" s="820"/>
      <c r="AC225" s="834">
        <v>51.17</v>
      </c>
      <c r="AD225" s="812"/>
      <c r="AE225" s="820"/>
      <c r="AF225" s="834">
        <v>7.43</v>
      </c>
      <c r="AG225" s="812"/>
      <c r="AH225" s="820"/>
      <c r="AI225" s="834">
        <v>280.58</v>
      </c>
      <c r="AJ225" s="812"/>
      <c r="AK225" s="820"/>
      <c r="AL225" s="834">
        <v>292.77999999999997</v>
      </c>
      <c r="AM225" s="812"/>
      <c r="AN225" s="820"/>
      <c r="AO225" s="834">
        <v>130.30000000000001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5452.2899999999991</v>
      </c>
      <c r="F226" s="812"/>
      <c r="G226" s="820"/>
      <c r="H226" s="834">
        <v>480.79</v>
      </c>
      <c r="I226" s="812"/>
      <c r="J226" s="820"/>
      <c r="K226" s="834">
        <v>326.60000000000002</v>
      </c>
      <c r="L226" s="812"/>
      <c r="M226" s="820"/>
      <c r="N226" s="834">
        <v>363.27</v>
      </c>
      <c r="O226" s="812"/>
      <c r="P226" s="820"/>
      <c r="Q226" s="834">
        <v>416.49</v>
      </c>
      <c r="R226" s="812"/>
      <c r="S226" s="820"/>
      <c r="T226" s="834">
        <v>325.36</v>
      </c>
      <c r="U226" s="812"/>
      <c r="V226" s="820"/>
      <c r="W226" s="834">
        <v>325.36</v>
      </c>
      <c r="X226" s="812"/>
      <c r="Y226" s="820"/>
      <c r="Z226" s="834">
        <v>325.36</v>
      </c>
      <c r="AA226" s="812"/>
      <c r="AB226" s="820"/>
      <c r="AC226" s="834">
        <v>416.49</v>
      </c>
      <c r="AD226" s="812"/>
      <c r="AE226" s="820"/>
      <c r="AF226" s="834">
        <v>1215.3599999999999</v>
      </c>
      <c r="AG226" s="812"/>
      <c r="AH226" s="820"/>
      <c r="AI226" s="834">
        <v>325.36</v>
      </c>
      <c r="AJ226" s="812"/>
      <c r="AK226" s="820"/>
      <c r="AL226" s="834">
        <v>369.91</v>
      </c>
      <c r="AM226" s="812"/>
      <c r="AN226" s="820"/>
      <c r="AO226" s="834">
        <v>561.94000000000005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12190.840000000002</v>
      </c>
      <c r="F227" s="812"/>
      <c r="G227" s="820"/>
      <c r="H227" s="834">
        <v>658.16</v>
      </c>
      <c r="I227" s="812"/>
      <c r="J227" s="820"/>
      <c r="K227" s="834">
        <v>2000.82</v>
      </c>
      <c r="L227" s="812"/>
      <c r="M227" s="820"/>
      <c r="N227" s="834">
        <v>350.05</v>
      </c>
      <c r="O227" s="812"/>
      <c r="P227" s="820"/>
      <c r="Q227" s="834">
        <v>147.12</v>
      </c>
      <c r="R227" s="812"/>
      <c r="S227" s="820"/>
      <c r="T227" s="834">
        <v>3325.27</v>
      </c>
      <c r="U227" s="812"/>
      <c r="V227" s="820"/>
      <c r="W227" s="834">
        <v>1291.02</v>
      </c>
      <c r="X227" s="812"/>
      <c r="Y227" s="820"/>
      <c r="Z227" s="834">
        <v>251.7</v>
      </c>
      <c r="AA227" s="812"/>
      <c r="AB227" s="820"/>
      <c r="AC227" s="834">
        <v>487.49</v>
      </c>
      <c r="AD227" s="812"/>
      <c r="AE227" s="820"/>
      <c r="AF227" s="834">
        <v>459.54</v>
      </c>
      <c r="AG227" s="812"/>
      <c r="AH227" s="820"/>
      <c r="AI227" s="834">
        <v>2267.9299999999998</v>
      </c>
      <c r="AJ227" s="812"/>
      <c r="AK227" s="820"/>
      <c r="AL227" s="834">
        <v>1253.26</v>
      </c>
      <c r="AM227" s="812"/>
      <c r="AN227" s="820"/>
      <c r="AO227" s="834">
        <v>-301.52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18079.160000000003</v>
      </c>
      <c r="F228" s="812"/>
      <c r="G228" s="820"/>
      <c r="H228" s="834">
        <v>790.6</v>
      </c>
      <c r="I228" s="812"/>
      <c r="J228" s="820"/>
      <c r="K228" s="834">
        <v>821.23</v>
      </c>
      <c r="L228" s="812"/>
      <c r="M228" s="820"/>
      <c r="N228" s="834">
        <v>1375.18</v>
      </c>
      <c r="O228" s="812"/>
      <c r="P228" s="820"/>
      <c r="Q228" s="834">
        <v>2194.0300000000002</v>
      </c>
      <c r="R228" s="812"/>
      <c r="S228" s="820"/>
      <c r="T228" s="834">
        <v>2054.54</v>
      </c>
      <c r="U228" s="812"/>
      <c r="V228" s="820"/>
      <c r="W228" s="834">
        <v>1230.82</v>
      </c>
      <c r="X228" s="812"/>
      <c r="Y228" s="820"/>
      <c r="Z228" s="834">
        <v>1496.88</v>
      </c>
      <c r="AA228" s="812"/>
      <c r="AB228" s="820"/>
      <c r="AC228" s="834">
        <v>998.88</v>
      </c>
      <c r="AD228" s="812"/>
      <c r="AE228" s="820"/>
      <c r="AF228" s="834">
        <v>1332.37</v>
      </c>
      <c r="AG228" s="812"/>
      <c r="AH228" s="820"/>
      <c r="AI228" s="834">
        <v>1974.28</v>
      </c>
      <c r="AJ228" s="812"/>
      <c r="AK228" s="820"/>
      <c r="AL228" s="834">
        <v>2394.5300000000002</v>
      </c>
      <c r="AM228" s="812"/>
      <c r="AN228" s="820"/>
      <c r="AO228" s="834">
        <v>1415.82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0.35447280570913003</v>
      </c>
      <c r="E232" s="841">
        <v>390974.92999999993</v>
      </c>
      <c r="F232" s="839" t="s">
        <v>162</v>
      </c>
      <c r="G232" s="840">
        <v>0</v>
      </c>
      <c r="H232" s="841">
        <v>24650.6</v>
      </c>
      <c r="I232" s="839" t="s">
        <v>162</v>
      </c>
      <c r="J232" s="840">
        <v>0</v>
      </c>
      <c r="K232" s="841">
        <v>26603.229999999996</v>
      </c>
      <c r="L232" s="839" t="s">
        <v>162</v>
      </c>
      <c r="M232" s="840">
        <v>0</v>
      </c>
      <c r="N232" s="841">
        <v>28481.12999999999</v>
      </c>
      <c r="O232" s="839" t="s">
        <v>162</v>
      </c>
      <c r="P232" s="840">
        <v>0</v>
      </c>
      <c r="Q232" s="841">
        <v>30809.479999999996</v>
      </c>
      <c r="R232" s="839" t="s">
        <v>162</v>
      </c>
      <c r="S232" s="840">
        <v>0</v>
      </c>
      <c r="T232" s="841">
        <v>36916.80999999999</v>
      </c>
      <c r="U232" s="839" t="s">
        <v>162</v>
      </c>
      <c r="V232" s="840">
        <v>0</v>
      </c>
      <c r="W232" s="841">
        <v>30431.500000000004</v>
      </c>
      <c r="X232" s="839" t="s">
        <v>162</v>
      </c>
      <c r="Y232" s="840">
        <v>0</v>
      </c>
      <c r="Z232" s="841">
        <v>32863.439999999995</v>
      </c>
      <c r="AA232" s="839" t="s">
        <v>162</v>
      </c>
      <c r="AB232" s="840">
        <v>0</v>
      </c>
      <c r="AC232" s="841">
        <v>28399.180000000004</v>
      </c>
      <c r="AD232" s="839" t="s">
        <v>162</v>
      </c>
      <c r="AE232" s="840">
        <v>0</v>
      </c>
      <c r="AF232" s="841">
        <v>28921.670000000006</v>
      </c>
      <c r="AG232" s="839" t="s">
        <v>162</v>
      </c>
      <c r="AH232" s="840">
        <v>0</v>
      </c>
      <c r="AI232" s="841">
        <v>38755.129999999997</v>
      </c>
      <c r="AJ232" s="839" t="s">
        <v>162</v>
      </c>
      <c r="AK232" s="840">
        <v>0</v>
      </c>
      <c r="AL232" s="841">
        <v>47600.25</v>
      </c>
      <c r="AM232" s="839" t="s">
        <v>162</v>
      </c>
      <c r="AN232" s="840">
        <v>0</v>
      </c>
      <c r="AO232" s="841">
        <v>36542.51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0.94963739957270765</v>
      </c>
      <c r="E234" s="850">
        <v>1047427.0799999998</v>
      </c>
      <c r="F234" s="839" t="s">
        <v>108</v>
      </c>
      <c r="G234" s="877">
        <v>0</v>
      </c>
      <c r="H234" s="850">
        <v>73963.94</v>
      </c>
      <c r="I234" s="839" t="s">
        <v>108</v>
      </c>
      <c r="J234" s="877">
        <v>0</v>
      </c>
      <c r="K234" s="850">
        <v>71442.489999999991</v>
      </c>
      <c r="L234" s="839" t="s">
        <v>108</v>
      </c>
      <c r="M234" s="877">
        <v>0</v>
      </c>
      <c r="N234" s="850">
        <v>75766.00999999998</v>
      </c>
      <c r="O234" s="839" t="s">
        <v>108</v>
      </c>
      <c r="P234" s="877">
        <v>0</v>
      </c>
      <c r="Q234" s="850">
        <v>83384.159999999989</v>
      </c>
      <c r="R234" s="839" t="s">
        <v>108</v>
      </c>
      <c r="S234" s="877">
        <v>0</v>
      </c>
      <c r="T234" s="850">
        <v>103645.9</v>
      </c>
      <c r="U234" s="839" t="s">
        <v>108</v>
      </c>
      <c r="V234" s="877">
        <v>0</v>
      </c>
      <c r="W234" s="850">
        <v>80720.88</v>
      </c>
      <c r="X234" s="839" t="s">
        <v>108</v>
      </c>
      <c r="Y234" s="877">
        <v>0</v>
      </c>
      <c r="Z234" s="850">
        <v>84116.18</v>
      </c>
      <c r="AA234" s="839" t="s">
        <v>108</v>
      </c>
      <c r="AB234" s="877">
        <v>0</v>
      </c>
      <c r="AC234" s="850">
        <v>68990.98000000001</v>
      </c>
      <c r="AD234" s="839" t="s">
        <v>108</v>
      </c>
      <c r="AE234" s="877">
        <v>0</v>
      </c>
      <c r="AF234" s="850">
        <v>80125.33</v>
      </c>
      <c r="AG234" s="839" t="s">
        <v>108</v>
      </c>
      <c r="AH234" s="877">
        <v>0</v>
      </c>
      <c r="AI234" s="850">
        <v>109609.23000000001</v>
      </c>
      <c r="AJ234" s="839" t="s">
        <v>108</v>
      </c>
      <c r="AK234" s="877">
        <v>0</v>
      </c>
      <c r="AL234" s="850">
        <v>111681.87</v>
      </c>
      <c r="AM234" s="839" t="s">
        <v>108</v>
      </c>
      <c r="AN234" s="877">
        <v>0</v>
      </c>
      <c r="AO234" s="850">
        <v>103980.11000000002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55548.72999999905</v>
      </c>
      <c r="F236" s="878"/>
      <c r="G236" s="879"/>
      <c r="H236" s="859">
        <v>-20658.510000000206</v>
      </c>
      <c r="I236" s="878"/>
      <c r="J236" s="879"/>
      <c r="K236" s="859">
        <v>-14771.629999999983</v>
      </c>
      <c r="L236" s="878"/>
      <c r="M236" s="879"/>
      <c r="N236" s="859">
        <v>-17247.149999999987</v>
      </c>
      <c r="O236" s="878"/>
      <c r="P236" s="879"/>
      <c r="Q236" s="859">
        <v>26614.960000000006</v>
      </c>
      <c r="R236" s="878"/>
      <c r="S236" s="879"/>
      <c r="T236" s="859">
        <v>38184.539999999921</v>
      </c>
      <c r="U236" s="878"/>
      <c r="V236" s="879"/>
      <c r="W236" s="859">
        <v>1260.8499999999913</v>
      </c>
      <c r="X236" s="878"/>
      <c r="Y236" s="879"/>
      <c r="Z236" s="859">
        <v>22063.639999999912</v>
      </c>
      <c r="AA236" s="878"/>
      <c r="AB236" s="879"/>
      <c r="AC236" s="859">
        <v>12651.609999999986</v>
      </c>
      <c r="AD236" s="878"/>
      <c r="AE236" s="879"/>
      <c r="AF236" s="859">
        <v>-4553.0800000002055</v>
      </c>
      <c r="AG236" s="878"/>
      <c r="AH236" s="879"/>
      <c r="AI236" s="859">
        <v>18860.549999999974</v>
      </c>
      <c r="AJ236" s="878"/>
      <c r="AK236" s="879"/>
      <c r="AL236" s="859">
        <v>24870.709999999701</v>
      </c>
      <c r="AM236" s="878"/>
      <c r="AN236" s="879"/>
      <c r="AO236" s="859">
        <v>-31727.760000000009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2813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93</v>
      </c>
      <c r="D244" s="882">
        <v>29658.19</v>
      </c>
      <c r="E244" s="834">
        <v>4480.2499999999936</v>
      </c>
      <c r="F244" s="881">
        <v>5</v>
      </c>
      <c r="G244" s="882">
        <v>877.3</v>
      </c>
      <c r="H244" s="834">
        <v>156.29999999999899</v>
      </c>
      <c r="I244" s="881">
        <v>5</v>
      </c>
      <c r="J244" s="882">
        <v>2735.36</v>
      </c>
      <c r="K244" s="834">
        <v>203.47</v>
      </c>
      <c r="L244" s="881">
        <v>8</v>
      </c>
      <c r="M244" s="882">
        <v>1918.38</v>
      </c>
      <c r="N244" s="834">
        <v>131.49</v>
      </c>
      <c r="O244" s="881">
        <v>1</v>
      </c>
      <c r="P244" s="882">
        <v>349.28</v>
      </c>
      <c r="Q244" s="834">
        <v>33.75</v>
      </c>
      <c r="R244" s="881">
        <v>16</v>
      </c>
      <c r="S244" s="882">
        <v>7000.57</v>
      </c>
      <c r="T244" s="834">
        <v>827.80999999999904</v>
      </c>
      <c r="U244" s="881">
        <v>5</v>
      </c>
      <c r="V244" s="882">
        <v>1103.3</v>
      </c>
      <c r="W244" s="834">
        <v>167.969999999999</v>
      </c>
      <c r="X244" s="881">
        <v>6</v>
      </c>
      <c r="Y244" s="882">
        <v>567.51</v>
      </c>
      <c r="Z244" s="834">
        <v>132.01999999999899</v>
      </c>
      <c r="AA244" s="881">
        <v>13</v>
      </c>
      <c r="AB244" s="882">
        <v>2563.25</v>
      </c>
      <c r="AC244" s="834">
        <v>356.73999999999899</v>
      </c>
      <c r="AD244" s="881">
        <v>4</v>
      </c>
      <c r="AE244" s="882">
        <v>1126.9000000000001</v>
      </c>
      <c r="AF244" s="834">
        <v>774.64</v>
      </c>
      <c r="AG244" s="881">
        <v>12</v>
      </c>
      <c r="AH244" s="882">
        <v>6515.27</v>
      </c>
      <c r="AI244" s="834">
        <v>688.94</v>
      </c>
      <c r="AJ244" s="881">
        <v>15</v>
      </c>
      <c r="AK244" s="882">
        <v>3725.96</v>
      </c>
      <c r="AL244" s="834">
        <v>905.42</v>
      </c>
      <c r="AM244" s="881">
        <v>3</v>
      </c>
      <c r="AN244" s="882">
        <v>1175.1099999999999</v>
      </c>
      <c r="AO244" s="834">
        <v>101.69999999999899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0.15106282615358502</v>
      </c>
      <c r="F245" s="883"/>
      <c r="G245" s="820"/>
      <c r="H245" s="884">
        <v>0.17816026444773622</v>
      </c>
      <c r="I245" s="883"/>
      <c r="J245" s="820"/>
      <c r="K245" s="884">
        <v>7.438509007955077E-2</v>
      </c>
      <c r="L245" s="883"/>
      <c r="M245" s="820"/>
      <c r="N245" s="884">
        <v>6.8542207487567633E-2</v>
      </c>
      <c r="O245" s="883"/>
      <c r="P245" s="820"/>
      <c r="Q245" s="884">
        <v>9.6627347686669723E-2</v>
      </c>
      <c r="R245" s="883"/>
      <c r="S245" s="820"/>
      <c r="T245" s="884">
        <v>0.11824894258610356</v>
      </c>
      <c r="U245" s="883"/>
      <c r="V245" s="820"/>
      <c r="W245" s="884">
        <v>0.15224327018943082</v>
      </c>
      <c r="X245" s="883"/>
      <c r="Y245" s="820"/>
      <c r="Z245" s="884">
        <v>0.23263026202181281</v>
      </c>
      <c r="AA245" s="883"/>
      <c r="AB245" s="820"/>
      <c r="AC245" s="884">
        <v>0.13917487564615194</v>
      </c>
      <c r="AD245" s="883"/>
      <c r="AE245" s="820"/>
      <c r="AF245" s="884">
        <v>0.687407933268258</v>
      </c>
      <c r="AG245" s="883"/>
      <c r="AH245" s="820"/>
      <c r="AI245" s="884">
        <v>0.10574235603436236</v>
      </c>
      <c r="AJ245" s="883"/>
      <c r="AK245" s="820"/>
      <c r="AL245" s="884">
        <v>0.24300314549807298</v>
      </c>
      <c r="AM245" s="883"/>
      <c r="AN245" s="820"/>
      <c r="AO245" s="884">
        <v>8.6545089395885497E-2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29658.19</v>
      </c>
      <c r="E253" s="824">
        <v>4480.2499999999936</v>
      </c>
      <c r="F253" s="822"/>
      <c r="G253" s="909">
        <v>877.3</v>
      </c>
      <c r="H253" s="824">
        <v>156.29999999999899</v>
      </c>
      <c r="I253" s="822"/>
      <c r="J253" s="909">
        <v>2735.36</v>
      </c>
      <c r="K253" s="824">
        <v>203.47</v>
      </c>
      <c r="L253" s="822"/>
      <c r="M253" s="909">
        <v>1918.38</v>
      </c>
      <c r="N253" s="824">
        <v>131.49</v>
      </c>
      <c r="O253" s="822"/>
      <c r="P253" s="909">
        <v>349.28</v>
      </c>
      <c r="Q253" s="824">
        <v>33.75</v>
      </c>
      <c r="R253" s="822"/>
      <c r="S253" s="909">
        <v>7000.57</v>
      </c>
      <c r="T253" s="824">
        <v>827.80999999999904</v>
      </c>
      <c r="U253" s="822"/>
      <c r="V253" s="909">
        <v>1103.3</v>
      </c>
      <c r="W253" s="824">
        <v>167.969999999999</v>
      </c>
      <c r="X253" s="822"/>
      <c r="Y253" s="909">
        <v>567.51</v>
      </c>
      <c r="Z253" s="824">
        <v>132.01999999999899</v>
      </c>
      <c r="AA253" s="822"/>
      <c r="AB253" s="909">
        <v>2563.25</v>
      </c>
      <c r="AC253" s="824">
        <v>356.73999999999899</v>
      </c>
      <c r="AD253" s="822"/>
      <c r="AE253" s="909">
        <v>1126.9000000000001</v>
      </c>
      <c r="AF253" s="824">
        <v>774.64</v>
      </c>
      <c r="AG253" s="822"/>
      <c r="AH253" s="909">
        <v>6515.27</v>
      </c>
      <c r="AI253" s="824">
        <v>688.94</v>
      </c>
      <c r="AJ253" s="822"/>
      <c r="AK253" s="909">
        <v>3725.96</v>
      </c>
      <c r="AL253" s="824">
        <v>905.42</v>
      </c>
      <c r="AM253" s="822"/>
      <c r="AN253" s="909">
        <v>1175.1099999999999</v>
      </c>
      <c r="AO253" s="824">
        <v>101.69999999999899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0.15106282615358502</v>
      </c>
      <c r="F254" s="825"/>
      <c r="G254" s="826"/>
      <c r="H254" s="910">
        <v>0.17816026444773622</v>
      </c>
      <c r="I254" s="825"/>
      <c r="J254" s="826"/>
      <c r="K254" s="910">
        <v>7.438509007955077E-2</v>
      </c>
      <c r="L254" s="825"/>
      <c r="M254" s="826"/>
      <c r="N254" s="910">
        <v>6.8542207487567633E-2</v>
      </c>
      <c r="O254" s="825"/>
      <c r="P254" s="826"/>
      <c r="Q254" s="910">
        <v>9.6627347686669723E-2</v>
      </c>
      <c r="R254" s="825"/>
      <c r="S254" s="826"/>
      <c r="T254" s="910">
        <v>0.11824894258610356</v>
      </c>
      <c r="U254" s="825"/>
      <c r="V254" s="826"/>
      <c r="W254" s="910">
        <v>0.15224327018943082</v>
      </c>
      <c r="X254" s="825"/>
      <c r="Y254" s="826"/>
      <c r="Z254" s="910">
        <v>0.23263026202181281</v>
      </c>
      <c r="AA254" s="825"/>
      <c r="AB254" s="826"/>
      <c r="AC254" s="910">
        <v>0.13917487564615194</v>
      </c>
      <c r="AD254" s="825"/>
      <c r="AE254" s="826"/>
      <c r="AF254" s="910">
        <v>0.687407933268258</v>
      </c>
      <c r="AG254" s="825"/>
      <c r="AH254" s="826"/>
      <c r="AI254" s="910">
        <v>0.10574235603436236</v>
      </c>
      <c r="AJ254" s="825"/>
      <c r="AK254" s="826"/>
      <c r="AL254" s="910">
        <v>0.24300314549807298</v>
      </c>
      <c r="AM254" s="825"/>
      <c r="AN254" s="826"/>
      <c r="AO254" s="910">
        <v>8.6545089395885497E-2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4059.8799999999997</v>
      </c>
      <c r="F258" s="812"/>
      <c r="G258" s="820"/>
      <c r="H258" s="834">
        <v>280.39999999999998</v>
      </c>
      <c r="I258" s="812"/>
      <c r="J258" s="820"/>
      <c r="K258" s="834">
        <v>351.64</v>
      </c>
      <c r="L258" s="812"/>
      <c r="M258" s="820"/>
      <c r="N258" s="834">
        <v>320.23</v>
      </c>
      <c r="O258" s="812"/>
      <c r="P258" s="820"/>
      <c r="Q258" s="834">
        <v>301.39</v>
      </c>
      <c r="R258" s="812"/>
      <c r="S258" s="820"/>
      <c r="T258" s="834">
        <v>394.45</v>
      </c>
      <c r="U258" s="812"/>
      <c r="V258" s="820"/>
      <c r="W258" s="834">
        <v>340.43</v>
      </c>
      <c r="X258" s="812"/>
      <c r="Y258" s="820"/>
      <c r="Z258" s="834">
        <v>321.19</v>
      </c>
      <c r="AA258" s="812"/>
      <c r="AB258" s="820"/>
      <c r="AC258" s="834">
        <v>323.39999999999998</v>
      </c>
      <c r="AD258" s="812"/>
      <c r="AE258" s="820"/>
      <c r="AF258" s="834">
        <v>357.43</v>
      </c>
      <c r="AG258" s="812"/>
      <c r="AH258" s="820"/>
      <c r="AI258" s="834">
        <v>378.45</v>
      </c>
      <c r="AJ258" s="812"/>
      <c r="AK258" s="820"/>
      <c r="AL258" s="834">
        <v>351.44</v>
      </c>
      <c r="AM258" s="812"/>
      <c r="AN258" s="820"/>
      <c r="AO258" s="834">
        <v>339.43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/>
      <c r="I261" s="812"/>
      <c r="J261" s="820"/>
      <c r="K261" s="834"/>
      <c r="L261" s="812"/>
      <c r="M261" s="820"/>
      <c r="N261" s="834"/>
      <c r="O261" s="812"/>
      <c r="P261" s="820"/>
      <c r="Q261" s="834"/>
      <c r="R261" s="812"/>
      <c r="S261" s="820"/>
      <c r="T261" s="834"/>
      <c r="U261" s="812"/>
      <c r="V261" s="820"/>
      <c r="W261" s="834"/>
      <c r="X261" s="812"/>
      <c r="Y261" s="820"/>
      <c r="Z261" s="834"/>
      <c r="AA261" s="812"/>
      <c r="AB261" s="820"/>
      <c r="AC261" s="834"/>
      <c r="AD261" s="812"/>
      <c r="AE261" s="820"/>
      <c r="AF261" s="834"/>
      <c r="AG261" s="812"/>
      <c r="AH261" s="820"/>
      <c r="AI261" s="834"/>
      <c r="AJ261" s="812"/>
      <c r="AK261" s="820"/>
      <c r="AL261" s="834"/>
      <c r="AM261" s="812"/>
      <c r="AN261" s="820"/>
      <c r="AO261" s="834"/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1205.1300000000001</v>
      </c>
      <c r="F264" s="812"/>
      <c r="G264" s="820"/>
      <c r="H264" s="834">
        <v>57.36</v>
      </c>
      <c r="I264" s="812"/>
      <c r="J264" s="820"/>
      <c r="K264" s="834">
        <v>260.98</v>
      </c>
      <c r="L264" s="812"/>
      <c r="M264" s="820"/>
      <c r="N264" s="834">
        <v>46.13</v>
      </c>
      <c r="O264" s="812"/>
      <c r="P264" s="820"/>
      <c r="Q264" s="834">
        <v>55.04</v>
      </c>
      <c r="R264" s="812"/>
      <c r="S264" s="820"/>
      <c r="T264" s="834">
        <v>95.24</v>
      </c>
      <c r="U264" s="812"/>
      <c r="V264" s="820"/>
      <c r="W264" s="834">
        <v>78.34</v>
      </c>
      <c r="X264" s="812"/>
      <c r="Y264" s="820"/>
      <c r="Z264" s="834">
        <v>52.3</v>
      </c>
      <c r="AA264" s="812"/>
      <c r="AB264" s="820"/>
      <c r="AC264" s="834">
        <v>137.97</v>
      </c>
      <c r="AD264" s="812"/>
      <c r="AE264" s="820"/>
      <c r="AF264" s="834">
        <v>127</v>
      </c>
      <c r="AG264" s="812"/>
      <c r="AH264" s="820"/>
      <c r="AI264" s="834">
        <v>51.12</v>
      </c>
      <c r="AJ264" s="812"/>
      <c r="AK264" s="820"/>
      <c r="AL264" s="834">
        <v>185.86</v>
      </c>
      <c r="AM264" s="812"/>
      <c r="AN264" s="820"/>
      <c r="AO264" s="834">
        <v>57.79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3258.4599999999996</v>
      </c>
      <c r="F265" s="842"/>
      <c r="G265" s="843"/>
      <c r="H265" s="844">
        <v>248.64</v>
      </c>
      <c r="I265" s="842"/>
      <c r="J265" s="843"/>
      <c r="K265" s="844">
        <v>834.69</v>
      </c>
      <c r="L265" s="842"/>
      <c r="M265" s="843"/>
      <c r="N265" s="844">
        <v>214.39</v>
      </c>
      <c r="O265" s="842"/>
      <c r="P265" s="843"/>
      <c r="Q265" s="844">
        <v>219</v>
      </c>
      <c r="R265" s="842"/>
      <c r="S265" s="843"/>
      <c r="T265" s="844">
        <v>220.92</v>
      </c>
      <c r="U265" s="842"/>
      <c r="V265" s="843"/>
      <c r="W265" s="844">
        <v>213.89</v>
      </c>
      <c r="X265" s="842"/>
      <c r="Y265" s="843"/>
      <c r="Z265" s="844">
        <v>220.64</v>
      </c>
      <c r="AA265" s="842"/>
      <c r="AB265" s="843"/>
      <c r="AC265" s="844">
        <v>221.21</v>
      </c>
      <c r="AD265" s="842"/>
      <c r="AE265" s="843"/>
      <c r="AF265" s="844">
        <v>215.66</v>
      </c>
      <c r="AG265" s="842"/>
      <c r="AH265" s="843"/>
      <c r="AI265" s="844">
        <v>219.11</v>
      </c>
      <c r="AJ265" s="842"/>
      <c r="AK265" s="843"/>
      <c r="AL265" s="844">
        <v>216.21</v>
      </c>
      <c r="AM265" s="842"/>
      <c r="AN265" s="843"/>
      <c r="AO265" s="844">
        <v>214.1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455.77</v>
      </c>
      <c r="F266" s="812"/>
      <c r="G266" s="820"/>
      <c r="H266" s="834">
        <v>45.34</v>
      </c>
      <c r="I266" s="812"/>
      <c r="J266" s="820"/>
      <c r="K266" s="834">
        <v>106.25</v>
      </c>
      <c r="L266" s="812"/>
      <c r="M266" s="820"/>
      <c r="N266" s="834">
        <v>42.23</v>
      </c>
      <c r="O266" s="812"/>
      <c r="P266" s="820"/>
      <c r="Q266" s="834">
        <v>48.02</v>
      </c>
      <c r="R266" s="812"/>
      <c r="S266" s="820"/>
      <c r="T266" s="834">
        <v>48.46</v>
      </c>
      <c r="U266" s="812"/>
      <c r="V266" s="820"/>
      <c r="W266" s="834">
        <v>3.82</v>
      </c>
      <c r="X266" s="812"/>
      <c r="Y266" s="820"/>
      <c r="Z266" s="834">
        <v>50.78</v>
      </c>
      <c r="AA266" s="812"/>
      <c r="AB266" s="820"/>
      <c r="AC266" s="834">
        <v>49.42</v>
      </c>
      <c r="AD266" s="812"/>
      <c r="AE266" s="820"/>
      <c r="AF266" s="834">
        <v>44.18</v>
      </c>
      <c r="AG266" s="812"/>
      <c r="AH266" s="820"/>
      <c r="AI266" s="834">
        <v>48.07</v>
      </c>
      <c r="AJ266" s="812"/>
      <c r="AK266" s="820"/>
      <c r="AL266" s="834">
        <v>-73.3</v>
      </c>
      <c r="AM266" s="812"/>
      <c r="AN266" s="820"/>
      <c r="AO266" s="834">
        <v>42.5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54.580000000000013</v>
      </c>
      <c r="F267" s="812"/>
      <c r="G267" s="820"/>
      <c r="H267" s="834">
        <v>11.42</v>
      </c>
      <c r="I267" s="812"/>
      <c r="J267" s="820"/>
      <c r="K267" s="834">
        <v>38.03</v>
      </c>
      <c r="L267" s="812"/>
      <c r="M267" s="820"/>
      <c r="N267" s="834">
        <v>4.96</v>
      </c>
      <c r="O267" s="812"/>
      <c r="P267" s="820"/>
      <c r="Q267" s="834">
        <v>14.46</v>
      </c>
      <c r="R267" s="812"/>
      <c r="S267" s="820"/>
      <c r="T267" s="834">
        <v>4.93</v>
      </c>
      <c r="U267" s="812"/>
      <c r="V267" s="820"/>
      <c r="W267" s="834">
        <v>4.3600000000000003</v>
      </c>
      <c r="X267" s="812"/>
      <c r="Y267" s="820"/>
      <c r="Z267" s="834">
        <v>-45.55</v>
      </c>
      <c r="AA267" s="812"/>
      <c r="AB267" s="820"/>
      <c r="AC267" s="834">
        <v>4.9800000000000004</v>
      </c>
      <c r="AD267" s="812"/>
      <c r="AE267" s="820"/>
      <c r="AF267" s="834">
        <v>4.58</v>
      </c>
      <c r="AG267" s="812"/>
      <c r="AH267" s="820"/>
      <c r="AI267" s="834">
        <v>4.8899999999999997</v>
      </c>
      <c r="AJ267" s="812"/>
      <c r="AK267" s="820"/>
      <c r="AL267" s="834">
        <v>3.16</v>
      </c>
      <c r="AM267" s="812"/>
      <c r="AN267" s="820"/>
      <c r="AO267" s="834">
        <v>4.3600000000000003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12913.06</v>
      </c>
      <c r="F269" s="839" t="s">
        <v>108</v>
      </c>
      <c r="G269" s="840">
        <v>0</v>
      </c>
      <c r="H269" s="841">
        <v>966.43</v>
      </c>
      <c r="I269" s="839" t="s">
        <v>108</v>
      </c>
      <c r="J269" s="840">
        <v>0</v>
      </c>
      <c r="K269" s="841">
        <v>1914.86</v>
      </c>
      <c r="L269" s="839" t="s">
        <v>108</v>
      </c>
      <c r="M269" s="840">
        <v>0</v>
      </c>
      <c r="N269" s="841">
        <v>951.21</v>
      </c>
      <c r="O269" s="839" t="s">
        <v>108</v>
      </c>
      <c r="P269" s="840">
        <v>0</v>
      </c>
      <c r="Q269" s="841">
        <v>961.18</v>
      </c>
      <c r="R269" s="839" t="s">
        <v>108</v>
      </c>
      <c r="S269" s="840">
        <v>0</v>
      </c>
      <c r="T269" s="841">
        <v>1087.2700000000002</v>
      </c>
      <c r="U269" s="839" t="s">
        <v>108</v>
      </c>
      <c r="V269" s="840">
        <v>0</v>
      </c>
      <c r="W269" s="841">
        <v>964.11000000000013</v>
      </c>
      <c r="X269" s="839" t="s">
        <v>108</v>
      </c>
      <c r="Y269" s="840">
        <v>0</v>
      </c>
      <c r="Z269" s="841">
        <v>922.63</v>
      </c>
      <c r="AA269" s="839" t="s">
        <v>108</v>
      </c>
      <c r="AB269" s="840">
        <v>0</v>
      </c>
      <c r="AC269" s="841">
        <v>1060.25</v>
      </c>
      <c r="AD269" s="839" t="s">
        <v>108</v>
      </c>
      <c r="AE269" s="840">
        <v>0</v>
      </c>
      <c r="AF269" s="841">
        <v>1072.1199999999999</v>
      </c>
      <c r="AG269" s="839" t="s">
        <v>108</v>
      </c>
      <c r="AH269" s="840">
        <v>0</v>
      </c>
      <c r="AI269" s="841">
        <v>1024.9100000000001</v>
      </c>
      <c r="AJ269" s="839" t="s">
        <v>108</v>
      </c>
      <c r="AK269" s="840">
        <v>0</v>
      </c>
      <c r="AL269" s="841">
        <v>1006.64</v>
      </c>
      <c r="AM269" s="839" t="s">
        <v>108</v>
      </c>
      <c r="AN269" s="840">
        <v>0</v>
      </c>
      <c r="AO269" s="841">
        <v>981.45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256.23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7.5</v>
      </c>
      <c r="O270" s="812"/>
      <c r="P270" s="820"/>
      <c r="Q270" s="834">
        <v>12.5</v>
      </c>
      <c r="R270" s="812"/>
      <c r="S270" s="820"/>
      <c r="T270" s="834">
        <v>0</v>
      </c>
      <c r="U270" s="812"/>
      <c r="V270" s="820"/>
      <c r="W270" s="834">
        <v>37.5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47.47</v>
      </c>
      <c r="AG270" s="812"/>
      <c r="AH270" s="820"/>
      <c r="AI270" s="834">
        <v>6.5</v>
      </c>
      <c r="AJ270" s="812"/>
      <c r="AK270" s="820"/>
      <c r="AL270" s="834">
        <v>40.76</v>
      </c>
      <c r="AM270" s="812"/>
      <c r="AN270" s="820"/>
      <c r="AO270" s="834">
        <v>104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223.74</v>
      </c>
      <c r="F271" s="812"/>
      <c r="G271" s="820"/>
      <c r="H271" s="834">
        <v>22.3</v>
      </c>
      <c r="I271" s="812"/>
      <c r="J271" s="820"/>
      <c r="K271" s="834">
        <v>23.61</v>
      </c>
      <c r="L271" s="812"/>
      <c r="M271" s="820"/>
      <c r="N271" s="834">
        <v>8.06</v>
      </c>
      <c r="O271" s="812"/>
      <c r="P271" s="820"/>
      <c r="Q271" s="834">
        <v>35.700000000000003</v>
      </c>
      <c r="R271" s="812"/>
      <c r="S271" s="820"/>
      <c r="T271" s="834">
        <v>28.14</v>
      </c>
      <c r="U271" s="812"/>
      <c r="V271" s="820"/>
      <c r="W271" s="834">
        <v>8.15</v>
      </c>
      <c r="X271" s="812"/>
      <c r="Y271" s="820"/>
      <c r="Z271" s="834">
        <v>12.07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85.71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1753.36</v>
      </c>
      <c r="F272" s="838"/>
      <c r="G272" s="845"/>
      <c r="H272" s="837">
        <v>129.19999999999999</v>
      </c>
      <c r="I272" s="838"/>
      <c r="J272" s="845"/>
      <c r="K272" s="837">
        <v>139.34</v>
      </c>
      <c r="L272" s="838"/>
      <c r="M272" s="845"/>
      <c r="N272" s="837">
        <v>174.74</v>
      </c>
      <c r="O272" s="838"/>
      <c r="P272" s="845"/>
      <c r="Q272" s="837">
        <v>144.5</v>
      </c>
      <c r="R272" s="838"/>
      <c r="S272" s="845"/>
      <c r="T272" s="837">
        <v>195.31</v>
      </c>
      <c r="U272" s="838"/>
      <c r="V272" s="845"/>
      <c r="W272" s="837">
        <v>169.54</v>
      </c>
      <c r="X272" s="838"/>
      <c r="Y272" s="845"/>
      <c r="Z272" s="837">
        <v>126.05</v>
      </c>
      <c r="AA272" s="838"/>
      <c r="AB272" s="845"/>
      <c r="AC272" s="837">
        <v>168.11</v>
      </c>
      <c r="AD272" s="838"/>
      <c r="AE272" s="845"/>
      <c r="AF272" s="837">
        <v>109</v>
      </c>
      <c r="AG272" s="838"/>
      <c r="AH272" s="845"/>
      <c r="AI272" s="837">
        <v>171.24</v>
      </c>
      <c r="AJ272" s="838"/>
      <c r="AK272" s="845"/>
      <c r="AL272" s="837">
        <v>151.13</v>
      </c>
      <c r="AM272" s="838"/>
      <c r="AN272" s="845"/>
      <c r="AO272" s="837">
        <v>75.2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2546.6800000000003</v>
      </c>
      <c r="F273" s="812"/>
      <c r="G273" s="820"/>
      <c r="H273" s="834">
        <v>229.28</v>
      </c>
      <c r="I273" s="812"/>
      <c r="J273" s="820"/>
      <c r="K273" s="834">
        <v>208.26</v>
      </c>
      <c r="L273" s="812"/>
      <c r="M273" s="820"/>
      <c r="N273" s="834">
        <v>208.26</v>
      </c>
      <c r="O273" s="812"/>
      <c r="P273" s="820"/>
      <c r="Q273" s="834">
        <v>216.24</v>
      </c>
      <c r="R273" s="812"/>
      <c r="S273" s="820"/>
      <c r="T273" s="834">
        <v>211.01</v>
      </c>
      <c r="U273" s="812"/>
      <c r="V273" s="820"/>
      <c r="W273" s="834">
        <v>213.65</v>
      </c>
      <c r="X273" s="812"/>
      <c r="Y273" s="820"/>
      <c r="Z273" s="834">
        <v>210.62</v>
      </c>
      <c r="AA273" s="812"/>
      <c r="AB273" s="820"/>
      <c r="AC273" s="834">
        <v>215.26</v>
      </c>
      <c r="AD273" s="812"/>
      <c r="AE273" s="820"/>
      <c r="AF273" s="834">
        <v>208.26</v>
      </c>
      <c r="AG273" s="812"/>
      <c r="AH273" s="820"/>
      <c r="AI273" s="834">
        <v>234.31</v>
      </c>
      <c r="AJ273" s="812"/>
      <c r="AK273" s="820"/>
      <c r="AL273" s="834">
        <v>214.63</v>
      </c>
      <c r="AM273" s="812"/>
      <c r="AN273" s="820"/>
      <c r="AO273" s="834">
        <v>176.9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329.49</v>
      </c>
      <c r="F274" s="812"/>
      <c r="G274" s="820"/>
      <c r="H274" s="834">
        <v>31.93</v>
      </c>
      <c r="I274" s="812"/>
      <c r="J274" s="820"/>
      <c r="K274" s="834">
        <v>18.36</v>
      </c>
      <c r="L274" s="812"/>
      <c r="M274" s="820"/>
      <c r="N274" s="834">
        <v>81.67</v>
      </c>
      <c r="O274" s="812"/>
      <c r="P274" s="820"/>
      <c r="Q274" s="834">
        <v>71.25</v>
      </c>
      <c r="R274" s="812"/>
      <c r="S274" s="820"/>
      <c r="T274" s="834">
        <v>14.79</v>
      </c>
      <c r="U274" s="812"/>
      <c r="V274" s="820"/>
      <c r="W274" s="834">
        <v>18.3</v>
      </c>
      <c r="X274" s="812"/>
      <c r="Y274" s="820"/>
      <c r="Z274" s="834">
        <v>-72.94</v>
      </c>
      <c r="AA274" s="812"/>
      <c r="AB274" s="820"/>
      <c r="AC274" s="834">
        <v>40.299999999999997</v>
      </c>
      <c r="AD274" s="812"/>
      <c r="AE274" s="820"/>
      <c r="AF274" s="834">
        <v>47.78</v>
      </c>
      <c r="AG274" s="812"/>
      <c r="AH274" s="820"/>
      <c r="AI274" s="834">
        <v>55.98</v>
      </c>
      <c r="AJ274" s="812"/>
      <c r="AK274" s="820"/>
      <c r="AL274" s="834">
        <v>17.63</v>
      </c>
      <c r="AM274" s="812"/>
      <c r="AN274" s="820"/>
      <c r="AO274" s="834">
        <v>4.4400000000000004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1983.2299999999998</v>
      </c>
      <c r="F275" s="838"/>
      <c r="G275" s="845"/>
      <c r="H275" s="837">
        <v>174.4</v>
      </c>
      <c r="I275" s="838"/>
      <c r="J275" s="845"/>
      <c r="K275" s="837">
        <v>186.5</v>
      </c>
      <c r="L275" s="838"/>
      <c r="M275" s="845"/>
      <c r="N275" s="837">
        <v>140.16999999999999</v>
      </c>
      <c r="O275" s="838"/>
      <c r="P275" s="845"/>
      <c r="Q275" s="837">
        <v>155.81</v>
      </c>
      <c r="R275" s="838"/>
      <c r="S275" s="845"/>
      <c r="T275" s="837">
        <v>191.52</v>
      </c>
      <c r="U275" s="838"/>
      <c r="V275" s="845"/>
      <c r="W275" s="837">
        <v>176.85</v>
      </c>
      <c r="X275" s="838"/>
      <c r="Y275" s="845"/>
      <c r="Z275" s="837">
        <v>150.44999999999999</v>
      </c>
      <c r="AA275" s="838"/>
      <c r="AB275" s="845"/>
      <c r="AC275" s="837">
        <v>159.81</v>
      </c>
      <c r="AD275" s="838"/>
      <c r="AE275" s="845"/>
      <c r="AF275" s="837">
        <v>178.46</v>
      </c>
      <c r="AG275" s="838"/>
      <c r="AH275" s="845"/>
      <c r="AI275" s="837">
        <v>144.32</v>
      </c>
      <c r="AJ275" s="838"/>
      <c r="AK275" s="845"/>
      <c r="AL275" s="837">
        <v>204.79</v>
      </c>
      <c r="AM275" s="838"/>
      <c r="AN275" s="845"/>
      <c r="AO275" s="837">
        <v>120.15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1.35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0.21</v>
      </c>
      <c r="AJ277" s="812"/>
      <c r="AK277" s="820"/>
      <c r="AL277" s="834">
        <v>0.6</v>
      </c>
      <c r="AM277" s="812"/>
      <c r="AN277" s="820"/>
      <c r="AO277" s="834">
        <v>0.54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23.08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4.33</v>
      </c>
      <c r="X278" s="812"/>
      <c r="Y278" s="820"/>
      <c r="Z278" s="834">
        <v>5</v>
      </c>
      <c r="AA278" s="812"/>
      <c r="AB278" s="820"/>
      <c r="AC278" s="834">
        <v>13.75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355.77000000000004</v>
      </c>
      <c r="F279" s="812"/>
      <c r="G279" s="820"/>
      <c r="H279" s="834">
        <v>10.55</v>
      </c>
      <c r="I279" s="812"/>
      <c r="J279" s="820"/>
      <c r="K279" s="834">
        <v>34.85</v>
      </c>
      <c r="L279" s="812"/>
      <c r="M279" s="820"/>
      <c r="N279" s="834">
        <v>8.76</v>
      </c>
      <c r="O279" s="812"/>
      <c r="P279" s="820"/>
      <c r="Q279" s="834">
        <v>22.98</v>
      </c>
      <c r="R279" s="812"/>
      <c r="S279" s="820"/>
      <c r="T279" s="834">
        <v>38.18</v>
      </c>
      <c r="U279" s="812"/>
      <c r="V279" s="820"/>
      <c r="W279" s="834">
        <v>27.94</v>
      </c>
      <c r="X279" s="812"/>
      <c r="Y279" s="820"/>
      <c r="Z279" s="834">
        <v>41.73</v>
      </c>
      <c r="AA279" s="812"/>
      <c r="AB279" s="820"/>
      <c r="AC279" s="834">
        <v>49.15</v>
      </c>
      <c r="AD279" s="812"/>
      <c r="AE279" s="820"/>
      <c r="AF279" s="834">
        <v>18.68</v>
      </c>
      <c r="AG279" s="812"/>
      <c r="AH279" s="820"/>
      <c r="AI279" s="834">
        <v>47.61</v>
      </c>
      <c r="AJ279" s="812"/>
      <c r="AK279" s="820"/>
      <c r="AL279" s="834">
        <v>28.49</v>
      </c>
      <c r="AM279" s="812"/>
      <c r="AN279" s="820"/>
      <c r="AO279" s="834">
        <v>26.85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113.03</v>
      </c>
      <c r="F280" s="812"/>
      <c r="G280" s="820"/>
      <c r="H280" s="834">
        <v>7.64</v>
      </c>
      <c r="I280" s="812"/>
      <c r="J280" s="820"/>
      <c r="K280" s="834">
        <v>7.6</v>
      </c>
      <c r="L280" s="812"/>
      <c r="M280" s="820"/>
      <c r="N280" s="834">
        <v>9.5299999999999994</v>
      </c>
      <c r="O280" s="812"/>
      <c r="P280" s="820"/>
      <c r="Q280" s="834">
        <v>9.42</v>
      </c>
      <c r="R280" s="812"/>
      <c r="S280" s="820"/>
      <c r="T280" s="834">
        <v>7.75</v>
      </c>
      <c r="U280" s="812"/>
      <c r="V280" s="820"/>
      <c r="W280" s="834">
        <v>15.16</v>
      </c>
      <c r="X280" s="812"/>
      <c r="Y280" s="820"/>
      <c r="Z280" s="834">
        <v>7.62</v>
      </c>
      <c r="AA280" s="812"/>
      <c r="AB280" s="820"/>
      <c r="AC280" s="834">
        <v>6.79</v>
      </c>
      <c r="AD280" s="812"/>
      <c r="AE280" s="820"/>
      <c r="AF280" s="834">
        <v>7.73</v>
      </c>
      <c r="AG280" s="812"/>
      <c r="AH280" s="820"/>
      <c r="AI280" s="834">
        <v>8.14</v>
      </c>
      <c r="AJ280" s="812"/>
      <c r="AK280" s="820"/>
      <c r="AL280" s="834">
        <v>17.52</v>
      </c>
      <c r="AM280" s="812"/>
      <c r="AN280" s="820"/>
      <c r="AO280" s="834">
        <v>8.1300000000000008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60.899999999999991</v>
      </c>
      <c r="F281" s="812"/>
      <c r="G281" s="820"/>
      <c r="H281" s="834">
        <v>2.82</v>
      </c>
      <c r="I281" s="812"/>
      <c r="J281" s="820"/>
      <c r="K281" s="834">
        <v>1.0900000000000001</v>
      </c>
      <c r="L281" s="812"/>
      <c r="M281" s="820"/>
      <c r="N281" s="834">
        <v>6.02</v>
      </c>
      <c r="O281" s="812"/>
      <c r="P281" s="820"/>
      <c r="Q281" s="834">
        <v>8.26</v>
      </c>
      <c r="R281" s="812"/>
      <c r="S281" s="820"/>
      <c r="T281" s="834">
        <v>7.64</v>
      </c>
      <c r="U281" s="812"/>
      <c r="V281" s="820"/>
      <c r="W281" s="834">
        <v>3.77</v>
      </c>
      <c r="X281" s="812"/>
      <c r="Y281" s="820"/>
      <c r="Z281" s="834">
        <v>12.13</v>
      </c>
      <c r="AA281" s="812"/>
      <c r="AB281" s="820"/>
      <c r="AC281" s="834">
        <v>6.45</v>
      </c>
      <c r="AD281" s="812"/>
      <c r="AE281" s="820"/>
      <c r="AF281" s="834">
        <v>0.82</v>
      </c>
      <c r="AG281" s="812"/>
      <c r="AH281" s="820"/>
      <c r="AI281" s="834">
        <v>4.58</v>
      </c>
      <c r="AJ281" s="812"/>
      <c r="AK281" s="820"/>
      <c r="AL281" s="834">
        <v>3.05</v>
      </c>
      <c r="AM281" s="812"/>
      <c r="AN281" s="820"/>
      <c r="AO281" s="834">
        <v>4.2699999999999996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479.85999999999979</v>
      </c>
      <c r="F282" s="812"/>
      <c r="G282" s="820"/>
      <c r="H282" s="834">
        <v>53.42</v>
      </c>
      <c r="I282" s="812"/>
      <c r="J282" s="820"/>
      <c r="K282" s="834">
        <v>36.269999999999897</v>
      </c>
      <c r="L282" s="812"/>
      <c r="M282" s="820"/>
      <c r="N282" s="834">
        <v>40.35</v>
      </c>
      <c r="O282" s="812"/>
      <c r="P282" s="820"/>
      <c r="Q282" s="834">
        <v>46.26</v>
      </c>
      <c r="R282" s="812"/>
      <c r="S282" s="820"/>
      <c r="T282" s="834">
        <v>36.14</v>
      </c>
      <c r="U282" s="812"/>
      <c r="V282" s="820"/>
      <c r="W282" s="834">
        <v>36.14</v>
      </c>
      <c r="X282" s="812"/>
      <c r="Y282" s="820"/>
      <c r="Z282" s="834">
        <v>36.14</v>
      </c>
      <c r="AA282" s="812"/>
      <c r="AB282" s="820"/>
      <c r="AC282" s="834">
        <v>46.26</v>
      </c>
      <c r="AD282" s="812"/>
      <c r="AE282" s="820"/>
      <c r="AF282" s="834">
        <v>36.14</v>
      </c>
      <c r="AG282" s="812"/>
      <c r="AH282" s="820"/>
      <c r="AI282" s="834">
        <v>36.14</v>
      </c>
      <c r="AJ282" s="812"/>
      <c r="AK282" s="820"/>
      <c r="AL282" s="834">
        <v>41.09</v>
      </c>
      <c r="AM282" s="812"/>
      <c r="AN282" s="820"/>
      <c r="AO282" s="834">
        <v>35.51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169.94</v>
      </c>
      <c r="F283" s="812"/>
      <c r="G283" s="820"/>
      <c r="H283" s="834">
        <v>-70.69</v>
      </c>
      <c r="I283" s="812"/>
      <c r="J283" s="820"/>
      <c r="K283" s="834">
        <v>34.54</v>
      </c>
      <c r="L283" s="812"/>
      <c r="M283" s="820"/>
      <c r="N283" s="834">
        <v>38.89</v>
      </c>
      <c r="O283" s="812"/>
      <c r="P283" s="820"/>
      <c r="Q283" s="834">
        <v>16.350000000000001</v>
      </c>
      <c r="R283" s="812"/>
      <c r="S283" s="820"/>
      <c r="T283" s="834">
        <v>-49.72</v>
      </c>
      <c r="U283" s="812"/>
      <c r="V283" s="820"/>
      <c r="W283" s="834">
        <v>-2.7</v>
      </c>
      <c r="X283" s="812"/>
      <c r="Y283" s="820"/>
      <c r="Z283" s="834">
        <v>27.97</v>
      </c>
      <c r="AA283" s="812"/>
      <c r="AB283" s="820"/>
      <c r="AC283" s="834">
        <v>54.16</v>
      </c>
      <c r="AD283" s="812"/>
      <c r="AE283" s="820"/>
      <c r="AF283" s="834">
        <v>9.99</v>
      </c>
      <c r="AG283" s="812"/>
      <c r="AH283" s="820"/>
      <c r="AI283" s="834">
        <v>27.95</v>
      </c>
      <c r="AJ283" s="812"/>
      <c r="AK283" s="820"/>
      <c r="AL283" s="834">
        <v>-6.63</v>
      </c>
      <c r="AM283" s="812"/>
      <c r="AN283" s="820"/>
      <c r="AO283" s="834">
        <v>89.83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1855.9699999999998</v>
      </c>
      <c r="F284" s="812"/>
      <c r="G284" s="820"/>
      <c r="H284" s="834">
        <v>87.85</v>
      </c>
      <c r="I284" s="812"/>
      <c r="J284" s="820"/>
      <c r="K284" s="834">
        <v>91.25</v>
      </c>
      <c r="L284" s="812"/>
      <c r="M284" s="820"/>
      <c r="N284" s="834">
        <v>152.81</v>
      </c>
      <c r="O284" s="812"/>
      <c r="P284" s="820"/>
      <c r="Q284" s="834">
        <v>243.76</v>
      </c>
      <c r="R284" s="812"/>
      <c r="S284" s="820"/>
      <c r="T284" s="834">
        <v>228.27</v>
      </c>
      <c r="U284" s="812"/>
      <c r="V284" s="820"/>
      <c r="W284" s="834">
        <v>136.72999999999999</v>
      </c>
      <c r="X284" s="812"/>
      <c r="Y284" s="820"/>
      <c r="Z284" s="834">
        <v>166.34</v>
      </c>
      <c r="AA284" s="812"/>
      <c r="AB284" s="820"/>
      <c r="AC284" s="834">
        <v>111</v>
      </c>
      <c r="AD284" s="812"/>
      <c r="AE284" s="820"/>
      <c r="AF284" s="834">
        <v>148.02000000000001</v>
      </c>
      <c r="AG284" s="812"/>
      <c r="AH284" s="820"/>
      <c r="AI284" s="834">
        <v>219.36</v>
      </c>
      <c r="AJ284" s="812"/>
      <c r="AK284" s="820"/>
      <c r="AL284" s="834">
        <v>266.06</v>
      </c>
      <c r="AM284" s="812"/>
      <c r="AN284" s="820"/>
      <c r="AO284" s="834">
        <v>4.5199999999999996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10152.629999999999</v>
      </c>
      <c r="F288" s="851" t="s">
        <v>108</v>
      </c>
      <c r="G288" s="852">
        <v>0</v>
      </c>
      <c r="H288" s="853">
        <v>678.69999999999993</v>
      </c>
      <c r="I288" s="851" t="s">
        <v>108</v>
      </c>
      <c r="J288" s="852">
        <v>0</v>
      </c>
      <c r="K288" s="853">
        <v>781.66999999999985</v>
      </c>
      <c r="L288" s="851" t="s">
        <v>108</v>
      </c>
      <c r="M288" s="852">
        <v>0</v>
      </c>
      <c r="N288" s="853">
        <v>876.76</v>
      </c>
      <c r="O288" s="851" t="s">
        <v>108</v>
      </c>
      <c r="P288" s="852">
        <v>0</v>
      </c>
      <c r="Q288" s="853">
        <v>983.03</v>
      </c>
      <c r="R288" s="851" t="s">
        <v>108</v>
      </c>
      <c r="S288" s="852">
        <v>0</v>
      </c>
      <c r="T288" s="853">
        <v>909.02999999999986</v>
      </c>
      <c r="U288" s="851" t="s">
        <v>108</v>
      </c>
      <c r="V288" s="852">
        <v>0</v>
      </c>
      <c r="W288" s="853">
        <v>845.36</v>
      </c>
      <c r="X288" s="851" t="s">
        <v>108</v>
      </c>
      <c r="Y288" s="852">
        <v>0</v>
      </c>
      <c r="Z288" s="853">
        <v>723.18000000000006</v>
      </c>
      <c r="AA288" s="851" t="s">
        <v>108</v>
      </c>
      <c r="AB288" s="852">
        <v>0</v>
      </c>
      <c r="AC288" s="853">
        <v>871.04</v>
      </c>
      <c r="AD288" s="851" t="s">
        <v>108</v>
      </c>
      <c r="AE288" s="852">
        <v>0</v>
      </c>
      <c r="AF288" s="853">
        <v>812.35</v>
      </c>
      <c r="AG288" s="851" t="s">
        <v>108</v>
      </c>
      <c r="AH288" s="852">
        <v>0</v>
      </c>
      <c r="AI288" s="853">
        <v>956.34000000000015</v>
      </c>
      <c r="AJ288" s="851" t="s">
        <v>108</v>
      </c>
      <c r="AK288" s="852">
        <v>0</v>
      </c>
      <c r="AL288" s="853">
        <v>1064.83</v>
      </c>
      <c r="AM288" s="851" t="s">
        <v>108</v>
      </c>
      <c r="AN288" s="852">
        <v>0</v>
      </c>
      <c r="AO288" s="853">
        <v>650.34000000000015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23065.69</v>
      </c>
      <c r="F290" s="839" t="s">
        <v>108</v>
      </c>
      <c r="G290" s="877">
        <v>0</v>
      </c>
      <c r="H290" s="850">
        <v>1645.1299999999999</v>
      </c>
      <c r="I290" s="839" t="s">
        <v>108</v>
      </c>
      <c r="J290" s="877">
        <v>0</v>
      </c>
      <c r="K290" s="850">
        <v>2696.5299999999997</v>
      </c>
      <c r="L290" s="839" t="s">
        <v>108</v>
      </c>
      <c r="M290" s="877">
        <v>0</v>
      </c>
      <c r="N290" s="850">
        <v>1827.97</v>
      </c>
      <c r="O290" s="839" t="s">
        <v>108</v>
      </c>
      <c r="P290" s="877">
        <v>0</v>
      </c>
      <c r="Q290" s="850">
        <v>1944.21</v>
      </c>
      <c r="R290" s="839" t="s">
        <v>108</v>
      </c>
      <c r="S290" s="877">
        <v>0</v>
      </c>
      <c r="T290" s="850">
        <v>1996.3000000000002</v>
      </c>
      <c r="U290" s="839" t="s">
        <v>108</v>
      </c>
      <c r="V290" s="877">
        <v>0</v>
      </c>
      <c r="W290" s="850">
        <v>1809.4700000000003</v>
      </c>
      <c r="X290" s="839" t="s">
        <v>108</v>
      </c>
      <c r="Y290" s="877">
        <v>0</v>
      </c>
      <c r="Z290" s="850">
        <v>1645.81</v>
      </c>
      <c r="AA290" s="839" t="s">
        <v>108</v>
      </c>
      <c r="AB290" s="877">
        <v>0</v>
      </c>
      <c r="AC290" s="850">
        <v>1931.29</v>
      </c>
      <c r="AD290" s="839" t="s">
        <v>108</v>
      </c>
      <c r="AE290" s="877">
        <v>0</v>
      </c>
      <c r="AF290" s="850">
        <v>1884.4699999999998</v>
      </c>
      <c r="AG290" s="839" t="s">
        <v>108</v>
      </c>
      <c r="AH290" s="877">
        <v>0</v>
      </c>
      <c r="AI290" s="850">
        <v>1981.2500000000002</v>
      </c>
      <c r="AJ290" s="839" t="s">
        <v>108</v>
      </c>
      <c r="AK290" s="877">
        <v>0</v>
      </c>
      <c r="AL290" s="850">
        <v>2071.4699999999998</v>
      </c>
      <c r="AM290" s="839" t="s">
        <v>108</v>
      </c>
      <c r="AN290" s="877">
        <v>0</v>
      </c>
      <c r="AO290" s="850">
        <v>1631.7900000000002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-18585.440000000006</v>
      </c>
      <c r="F292" s="878"/>
      <c r="G292" s="879"/>
      <c r="H292" s="859">
        <v>-1488.8300000000008</v>
      </c>
      <c r="I292" s="878"/>
      <c r="J292" s="879"/>
      <c r="K292" s="859">
        <v>-2493.06</v>
      </c>
      <c r="L292" s="878"/>
      <c r="M292" s="879"/>
      <c r="N292" s="859">
        <v>-1696.48</v>
      </c>
      <c r="O292" s="878"/>
      <c r="P292" s="879"/>
      <c r="Q292" s="859">
        <v>-1910.46</v>
      </c>
      <c r="R292" s="878"/>
      <c r="S292" s="879"/>
      <c r="T292" s="859">
        <v>-1168.4900000000011</v>
      </c>
      <c r="U292" s="878"/>
      <c r="V292" s="879"/>
      <c r="W292" s="859">
        <v>-1641.5000000000014</v>
      </c>
      <c r="X292" s="878"/>
      <c r="Y292" s="879"/>
      <c r="Z292" s="859">
        <v>-1513.7900000000009</v>
      </c>
      <c r="AA292" s="878"/>
      <c r="AB292" s="879"/>
      <c r="AC292" s="859">
        <v>-1574.5500000000011</v>
      </c>
      <c r="AD292" s="878"/>
      <c r="AE292" s="879"/>
      <c r="AF292" s="859">
        <v>-1109.83</v>
      </c>
      <c r="AG292" s="878"/>
      <c r="AH292" s="879"/>
      <c r="AI292" s="859">
        <v>-1292.3100000000002</v>
      </c>
      <c r="AJ292" s="878"/>
      <c r="AK292" s="879"/>
      <c r="AL292" s="859">
        <v>-1166.0499999999997</v>
      </c>
      <c r="AM292" s="878"/>
      <c r="AN292" s="879"/>
      <c r="AO292" s="859">
        <v>-1530.0900000000013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2813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691663.80999999959</v>
      </c>
      <c r="D298" s="875">
        <v>0.39906731566597298</v>
      </c>
      <c r="E298" s="834">
        <v>276020.4199999994</v>
      </c>
      <c r="F298" s="881">
        <v>38074.57</v>
      </c>
      <c r="G298" s="875">
        <v>0.43991803453065914</v>
      </c>
      <c r="H298" s="834">
        <v>16749.689999999999</v>
      </c>
      <c r="I298" s="881">
        <v>52256.61</v>
      </c>
      <c r="J298" s="875">
        <v>0.38531393444771866</v>
      </c>
      <c r="K298" s="834">
        <v>20135.2</v>
      </c>
      <c r="L298" s="881">
        <v>48179.360000000001</v>
      </c>
      <c r="M298" s="875">
        <v>0.41577368400078374</v>
      </c>
      <c r="N298" s="834">
        <v>20031.71</v>
      </c>
      <c r="O298" s="881">
        <v>49147.909999999902</v>
      </c>
      <c r="P298" s="875">
        <v>0.37536977665988114</v>
      </c>
      <c r="Q298" s="834">
        <v>18448.639999999901</v>
      </c>
      <c r="R298" s="881">
        <v>101379.69</v>
      </c>
      <c r="S298" s="875">
        <v>0.41161696193783981</v>
      </c>
      <c r="T298" s="834">
        <v>41729.599999999999</v>
      </c>
      <c r="U298" s="881">
        <v>61151.799999999901</v>
      </c>
      <c r="V298" s="875">
        <v>0.40306450505136299</v>
      </c>
      <c r="W298" s="834">
        <v>24648.119999999901</v>
      </c>
      <c r="X298" s="881">
        <v>74277.59</v>
      </c>
      <c r="Y298" s="875">
        <v>0.38412420219880455</v>
      </c>
      <c r="Z298" s="834">
        <v>28531.819999999901</v>
      </c>
      <c r="AA298" s="881">
        <v>49580.33</v>
      </c>
      <c r="AB298" s="875">
        <v>0.4085928835084397</v>
      </c>
      <c r="AC298" s="834">
        <v>20258.169999999998</v>
      </c>
      <c r="AD298" s="881">
        <v>48572.5</v>
      </c>
      <c r="AE298" s="875">
        <v>0.37293818518708938</v>
      </c>
      <c r="AF298" s="834">
        <v>18114.539999999899</v>
      </c>
      <c r="AG298" s="881">
        <v>59024.789999999899</v>
      </c>
      <c r="AH298" s="875">
        <v>0.4077474905035654</v>
      </c>
      <c r="AI298" s="834">
        <v>24067.209999999901</v>
      </c>
      <c r="AJ298" s="881">
        <v>76600.95</v>
      </c>
      <c r="AK298" s="875">
        <v>0.37806776547810439</v>
      </c>
      <c r="AL298" s="834">
        <v>28960.35</v>
      </c>
      <c r="AM298" s="881">
        <v>33417.71</v>
      </c>
      <c r="AN298" s="875">
        <v>0.42927447751506315</v>
      </c>
      <c r="AO298" s="834">
        <v>14345.369999999901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7465.0599999999995</v>
      </c>
      <c r="D299" s="875">
        <v>0.32626127586382414</v>
      </c>
      <c r="E299" s="834">
        <v>2435.559999999999</v>
      </c>
      <c r="F299" s="881">
        <v>0</v>
      </c>
      <c r="G299" s="875">
        <v>0</v>
      </c>
      <c r="H299" s="834">
        <v>0</v>
      </c>
      <c r="I299" s="881">
        <v>500.26</v>
      </c>
      <c r="J299" s="875">
        <v>0.3922360372606245</v>
      </c>
      <c r="K299" s="834">
        <v>196.22</v>
      </c>
      <c r="L299" s="881">
        <v>0</v>
      </c>
      <c r="M299" s="875">
        <v>0</v>
      </c>
      <c r="N299" s="834">
        <v>0</v>
      </c>
      <c r="O299" s="881">
        <v>106.86</v>
      </c>
      <c r="P299" s="875">
        <v>0.30001871607711028</v>
      </c>
      <c r="Q299" s="834">
        <v>32.06</v>
      </c>
      <c r="R299" s="881">
        <v>4095.97</v>
      </c>
      <c r="S299" s="875">
        <v>0.28024375178529137</v>
      </c>
      <c r="T299" s="834">
        <v>1147.8699999999999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2525.73</v>
      </c>
      <c r="AH299" s="875">
        <v>0.38764634382930835</v>
      </c>
      <c r="AI299" s="834">
        <v>979.08999999999901</v>
      </c>
      <c r="AJ299" s="881">
        <v>236.24</v>
      </c>
      <c r="AK299" s="875">
        <v>0.33999322722654923</v>
      </c>
      <c r="AL299" s="834">
        <v>80.319999999999993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705651.38999999943</v>
      </c>
      <c r="D300" s="875">
        <v>0.28172483299437628</v>
      </c>
      <c r="E300" s="834">
        <v>198799.51999999932</v>
      </c>
      <c r="F300" s="881">
        <v>81007.39</v>
      </c>
      <c r="G300" s="875">
        <v>0.28715343131040266</v>
      </c>
      <c r="H300" s="834">
        <v>23261.55</v>
      </c>
      <c r="I300" s="881">
        <v>29013.8999999999</v>
      </c>
      <c r="J300" s="875">
        <v>0.28731849217099487</v>
      </c>
      <c r="K300" s="834">
        <v>8336.23</v>
      </c>
      <c r="L300" s="881">
        <v>44518.05</v>
      </c>
      <c r="M300" s="875">
        <v>0.29369255841169817</v>
      </c>
      <c r="N300" s="834">
        <v>13074.619999999901</v>
      </c>
      <c r="O300" s="881">
        <v>37284.379999999997</v>
      </c>
      <c r="P300" s="875">
        <v>0.28654492846601981</v>
      </c>
      <c r="Q300" s="834">
        <v>10683.6499999999</v>
      </c>
      <c r="R300" s="881">
        <v>45144.229999999901</v>
      </c>
      <c r="S300" s="875">
        <v>0.28611474821920607</v>
      </c>
      <c r="T300" s="834">
        <v>12916.4299999999</v>
      </c>
      <c r="U300" s="881">
        <v>52884.57</v>
      </c>
      <c r="V300" s="875">
        <v>0.2864154894329291</v>
      </c>
      <c r="W300" s="834">
        <v>15146.96</v>
      </c>
      <c r="X300" s="881">
        <v>60599.03</v>
      </c>
      <c r="Y300" s="875">
        <v>0.26726302384708139</v>
      </c>
      <c r="Z300" s="834">
        <v>16195.88</v>
      </c>
      <c r="AA300" s="881">
        <v>54623.0099999999</v>
      </c>
      <c r="AB300" s="875">
        <v>0.28735728770713898</v>
      </c>
      <c r="AC300" s="834">
        <v>15696.3199999999</v>
      </c>
      <c r="AD300" s="881">
        <v>90556.599999999904</v>
      </c>
      <c r="AE300" s="875">
        <v>0.26027832317025956</v>
      </c>
      <c r="AF300" s="834">
        <v>23569.9199999999</v>
      </c>
      <c r="AG300" s="881">
        <v>70610.179999999993</v>
      </c>
      <c r="AH300" s="875">
        <v>0.28525985913079394</v>
      </c>
      <c r="AI300" s="834">
        <v>20142.25</v>
      </c>
      <c r="AJ300" s="881">
        <v>82161.429999999993</v>
      </c>
      <c r="AK300" s="875">
        <v>0.2859726273021283</v>
      </c>
      <c r="AL300" s="834">
        <v>23495.9199999999</v>
      </c>
      <c r="AM300" s="881">
        <v>57248.619999999901</v>
      </c>
      <c r="AN300" s="875">
        <v>0.28436999878774244</v>
      </c>
      <c r="AO300" s="834">
        <v>16279.789999999901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215481.36</v>
      </c>
      <c r="D301" s="875">
        <v>0.33547096602694543</v>
      </c>
      <c r="E301" s="834">
        <v>72287.739999999991</v>
      </c>
      <c r="F301" s="881">
        <v>12389.91</v>
      </c>
      <c r="G301" s="875">
        <v>0.40430075763262202</v>
      </c>
      <c r="H301" s="834">
        <v>5009.25</v>
      </c>
      <c r="I301" s="881">
        <v>6569.6399999999903</v>
      </c>
      <c r="J301" s="875">
        <v>0.35903489384501941</v>
      </c>
      <c r="K301" s="834">
        <v>2358.72999999999</v>
      </c>
      <c r="L301" s="881">
        <v>12368.7</v>
      </c>
      <c r="M301" s="875">
        <v>0.22129003048016363</v>
      </c>
      <c r="N301" s="834">
        <v>2737.07</v>
      </c>
      <c r="O301" s="881">
        <v>18887.43</v>
      </c>
      <c r="P301" s="875">
        <v>0.31382141455984214</v>
      </c>
      <c r="Q301" s="834">
        <v>5927.28</v>
      </c>
      <c r="R301" s="881">
        <v>19700.91</v>
      </c>
      <c r="S301" s="875">
        <v>0.28624109241654322</v>
      </c>
      <c r="T301" s="834">
        <v>5639.21</v>
      </c>
      <c r="U301" s="881">
        <v>12460.92</v>
      </c>
      <c r="V301" s="875">
        <v>0.2860117872516636</v>
      </c>
      <c r="W301" s="834">
        <v>3563.97</v>
      </c>
      <c r="X301" s="881">
        <v>15301.85</v>
      </c>
      <c r="Y301" s="875">
        <v>0.35106016592764927</v>
      </c>
      <c r="Z301" s="834">
        <v>5371.87</v>
      </c>
      <c r="AA301" s="881">
        <v>18137.98</v>
      </c>
      <c r="AB301" s="875">
        <v>0.3612276560013849</v>
      </c>
      <c r="AC301" s="834">
        <v>6551.94</v>
      </c>
      <c r="AD301" s="881">
        <v>18566.009999999998</v>
      </c>
      <c r="AE301" s="875">
        <v>0.38170883243087778</v>
      </c>
      <c r="AF301" s="834">
        <v>7086.81</v>
      </c>
      <c r="AG301" s="881">
        <v>27413.58</v>
      </c>
      <c r="AH301" s="875">
        <v>0.3434888839764817</v>
      </c>
      <c r="AI301" s="834">
        <v>9416.26</v>
      </c>
      <c r="AJ301" s="881">
        <v>30386.959999999999</v>
      </c>
      <c r="AK301" s="875">
        <v>0.32565021311773212</v>
      </c>
      <c r="AL301" s="834">
        <v>9895.52</v>
      </c>
      <c r="AM301" s="881">
        <v>23297.47</v>
      </c>
      <c r="AN301" s="875">
        <v>0.37471150300869577</v>
      </c>
      <c r="AO301" s="834">
        <v>8729.83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314665.81999999966</v>
      </c>
      <c r="D302" s="875">
        <v>0.2797598099469461</v>
      </c>
      <c r="E302" s="834">
        <v>88030.84999999986</v>
      </c>
      <c r="F302" s="881">
        <v>13287.98</v>
      </c>
      <c r="G302" s="875">
        <v>0.28935699782811231</v>
      </c>
      <c r="H302" s="834">
        <v>3844.97</v>
      </c>
      <c r="I302" s="881">
        <v>16921.879999999899</v>
      </c>
      <c r="J302" s="875">
        <v>0.34771550206005625</v>
      </c>
      <c r="K302" s="834">
        <v>5883.99999999999</v>
      </c>
      <c r="L302" s="881">
        <v>40054.050000000003</v>
      </c>
      <c r="M302" s="875">
        <v>0.25169714423385398</v>
      </c>
      <c r="N302" s="834">
        <v>10081.49</v>
      </c>
      <c r="O302" s="881">
        <v>27401.949999999899</v>
      </c>
      <c r="P302" s="875">
        <v>0.20045982129009104</v>
      </c>
      <c r="Q302" s="834">
        <v>5492.9899999999898</v>
      </c>
      <c r="R302" s="881">
        <v>26564.869999999901</v>
      </c>
      <c r="S302" s="875">
        <v>0.31206363893367522</v>
      </c>
      <c r="T302" s="834">
        <v>8289.9299999999894</v>
      </c>
      <c r="U302" s="881">
        <v>23921.72</v>
      </c>
      <c r="V302" s="875">
        <v>0.29105850248226295</v>
      </c>
      <c r="W302" s="834">
        <v>6962.62</v>
      </c>
      <c r="X302" s="881">
        <v>22737.75</v>
      </c>
      <c r="Y302" s="875">
        <v>0.30379039262899804</v>
      </c>
      <c r="Z302" s="834">
        <v>6907.51</v>
      </c>
      <c r="AA302" s="881">
        <v>23616.34</v>
      </c>
      <c r="AB302" s="875">
        <v>0.25715754431042237</v>
      </c>
      <c r="AC302" s="834">
        <v>6073.12</v>
      </c>
      <c r="AD302" s="881">
        <v>34302.78</v>
      </c>
      <c r="AE302" s="875">
        <v>0.29184952356630861</v>
      </c>
      <c r="AF302" s="834">
        <v>10011.2499999999</v>
      </c>
      <c r="AG302" s="881">
        <v>40701.300000000003</v>
      </c>
      <c r="AH302" s="875">
        <v>0.28592403682437656</v>
      </c>
      <c r="AI302" s="834">
        <v>11637.48</v>
      </c>
      <c r="AJ302" s="881">
        <v>26330.03</v>
      </c>
      <c r="AK302" s="875">
        <v>0.27260280371879525</v>
      </c>
      <c r="AL302" s="834">
        <v>7177.6399999999903</v>
      </c>
      <c r="AM302" s="881">
        <v>18825.169999999998</v>
      </c>
      <c r="AN302" s="875">
        <v>0.30107829039525225</v>
      </c>
      <c r="AO302" s="834">
        <v>5667.8499999999904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531794.52</v>
      </c>
      <c r="D303" s="875">
        <v>0.2038442780493486</v>
      </c>
      <c r="E303" s="834">
        <v>108403.26999999987</v>
      </c>
      <c r="F303" s="881">
        <v>64660.72</v>
      </c>
      <c r="G303" s="875">
        <v>0.18763137806074537</v>
      </c>
      <c r="H303" s="834">
        <v>12132.38</v>
      </c>
      <c r="I303" s="881">
        <v>40829.660000000003</v>
      </c>
      <c r="J303" s="875">
        <v>0.19246817142244141</v>
      </c>
      <c r="K303" s="834">
        <v>7858.41</v>
      </c>
      <c r="L303" s="881">
        <v>32085.34</v>
      </c>
      <c r="M303" s="875">
        <v>0.21001709815136757</v>
      </c>
      <c r="N303" s="834">
        <v>6738.47</v>
      </c>
      <c r="O303" s="881">
        <v>50271.28</v>
      </c>
      <c r="P303" s="875">
        <v>0.20057157884183374</v>
      </c>
      <c r="Q303" s="834">
        <v>10082.9899999999</v>
      </c>
      <c r="R303" s="881">
        <v>66902.58</v>
      </c>
      <c r="S303" s="875">
        <v>0.2107130995546061</v>
      </c>
      <c r="T303" s="834">
        <v>14097.25</v>
      </c>
      <c r="U303" s="881">
        <v>58077.85</v>
      </c>
      <c r="V303" s="875">
        <v>0.20469146154687201</v>
      </c>
      <c r="W303" s="834">
        <v>11888.04</v>
      </c>
      <c r="X303" s="881">
        <v>54288.38</v>
      </c>
      <c r="Y303" s="875">
        <v>0.22613107998433554</v>
      </c>
      <c r="Z303" s="834">
        <v>12276.29</v>
      </c>
      <c r="AA303" s="881">
        <v>21210.63</v>
      </c>
      <c r="AB303" s="875">
        <v>0.17641908797617042</v>
      </c>
      <c r="AC303" s="834">
        <v>3741.96</v>
      </c>
      <c r="AD303" s="881">
        <v>36178.019999999997</v>
      </c>
      <c r="AE303" s="875">
        <v>0.22392436070299013</v>
      </c>
      <c r="AF303" s="834">
        <v>8101.1399999999903</v>
      </c>
      <c r="AG303" s="881">
        <v>19252.650000000001</v>
      </c>
      <c r="AH303" s="875">
        <v>0.23594206511830837</v>
      </c>
      <c r="AI303" s="834">
        <v>4542.51</v>
      </c>
      <c r="AJ303" s="881">
        <v>54580.51</v>
      </c>
      <c r="AK303" s="875">
        <v>0.21461800192046573</v>
      </c>
      <c r="AL303" s="834">
        <v>11713.96</v>
      </c>
      <c r="AM303" s="881">
        <v>33456.9</v>
      </c>
      <c r="AN303" s="875">
        <v>0.15631663423688386</v>
      </c>
      <c r="AO303" s="834">
        <v>5229.87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66072.73</v>
      </c>
      <c r="F305" s="881">
        <v>0</v>
      </c>
      <c r="G305" s="875">
        <v>0</v>
      </c>
      <c r="H305" s="834">
        <v>1037.5</v>
      </c>
      <c r="I305" s="881">
        <v>0</v>
      </c>
      <c r="J305" s="875">
        <v>0</v>
      </c>
      <c r="K305" s="834">
        <v>940.37</v>
      </c>
      <c r="L305" s="881">
        <v>0</v>
      </c>
      <c r="M305" s="875">
        <v>0</v>
      </c>
      <c r="N305" s="834">
        <v>20936.03</v>
      </c>
      <c r="O305" s="881">
        <v>0</v>
      </c>
      <c r="P305" s="875">
        <v>0</v>
      </c>
      <c r="Q305" s="834">
        <v>1524.55</v>
      </c>
      <c r="R305" s="881">
        <v>0</v>
      </c>
      <c r="S305" s="875">
        <v>0</v>
      </c>
      <c r="T305" s="834">
        <v>7049.22</v>
      </c>
      <c r="U305" s="881">
        <v>0</v>
      </c>
      <c r="V305" s="875">
        <v>0</v>
      </c>
      <c r="W305" s="834">
        <v>3795.3</v>
      </c>
      <c r="X305" s="881">
        <v>0</v>
      </c>
      <c r="Y305" s="875">
        <v>0</v>
      </c>
      <c r="Z305" s="834">
        <v>-500.91</v>
      </c>
      <c r="AA305" s="881">
        <v>0</v>
      </c>
      <c r="AB305" s="875">
        <v>0</v>
      </c>
      <c r="AC305" s="834">
        <v>6306.81</v>
      </c>
      <c r="AD305" s="881">
        <v>0</v>
      </c>
      <c r="AE305" s="875">
        <v>0</v>
      </c>
      <c r="AF305" s="834">
        <v>115.66</v>
      </c>
      <c r="AG305" s="881">
        <v>0</v>
      </c>
      <c r="AH305" s="875">
        <v>0</v>
      </c>
      <c r="AI305" s="834">
        <v>9632.99</v>
      </c>
      <c r="AJ305" s="881">
        <v>0</v>
      </c>
      <c r="AK305" s="875">
        <v>0</v>
      </c>
      <c r="AL305" s="834">
        <v>2545.65</v>
      </c>
      <c r="AM305" s="881">
        <v>0</v>
      </c>
      <c r="AN305" s="875">
        <v>0</v>
      </c>
      <c r="AO305" s="834">
        <v>12689.56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9377.1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9377.1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2466721.959999999</v>
      </c>
      <c r="D307" s="914">
        <v>0.33300355829320899</v>
      </c>
      <c r="E307" s="915">
        <v>821427.18999999843</v>
      </c>
      <c r="F307" s="913">
        <v>209420.57</v>
      </c>
      <c r="G307" s="914">
        <v>0.29622371861560681</v>
      </c>
      <c r="H307" s="915">
        <v>62035.34</v>
      </c>
      <c r="I307" s="913">
        <v>146091.94999999978</v>
      </c>
      <c r="J307" s="914">
        <v>0.31287938863161213</v>
      </c>
      <c r="K307" s="915">
        <v>45709.159999999982</v>
      </c>
      <c r="L307" s="913">
        <v>177205.5</v>
      </c>
      <c r="M307" s="914">
        <v>0.41533355341679518</v>
      </c>
      <c r="N307" s="915">
        <v>73599.389999999898</v>
      </c>
      <c r="O307" s="913">
        <v>183099.80999999979</v>
      </c>
      <c r="P307" s="914">
        <v>0.28504759234867449</v>
      </c>
      <c r="Q307" s="915">
        <v>52192.159999999698</v>
      </c>
      <c r="R307" s="913">
        <v>263788.24999999983</v>
      </c>
      <c r="S307" s="914">
        <v>0.34447899025070278</v>
      </c>
      <c r="T307" s="915">
        <v>90869.509999999893</v>
      </c>
      <c r="U307" s="913">
        <v>208496.8599999999</v>
      </c>
      <c r="V307" s="914">
        <v>0.31657555897964096</v>
      </c>
      <c r="W307" s="915">
        <v>66005.009999999907</v>
      </c>
      <c r="X307" s="913">
        <v>227204.6</v>
      </c>
      <c r="Y307" s="914">
        <v>0.30273357141536705</v>
      </c>
      <c r="Z307" s="915">
        <v>68782.459999999905</v>
      </c>
      <c r="AA307" s="913">
        <v>167168.28999999992</v>
      </c>
      <c r="AB307" s="914">
        <v>0.35071436095924607</v>
      </c>
      <c r="AC307" s="915">
        <v>58628.319999999898</v>
      </c>
      <c r="AD307" s="913">
        <v>228175.90999999992</v>
      </c>
      <c r="AE307" s="914">
        <v>0.29363012072571426</v>
      </c>
      <c r="AF307" s="915">
        <v>66999.319999999687</v>
      </c>
      <c r="AG307" s="913">
        <v>219528.22999999989</v>
      </c>
      <c r="AH307" s="914">
        <v>0.36632095106857077</v>
      </c>
      <c r="AI307" s="915">
        <v>80417.789999999906</v>
      </c>
      <c r="AJ307" s="913">
        <v>270296.12</v>
      </c>
      <c r="AK307" s="914">
        <v>0.31028695491448366</v>
      </c>
      <c r="AL307" s="915">
        <v>83869.35999999987</v>
      </c>
      <c r="AM307" s="913">
        <v>166245.86999999991</v>
      </c>
      <c r="AN307" s="914">
        <v>0.43501453600020157</v>
      </c>
      <c r="AO307" s="915">
        <v>72319.369999999792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>
        <v>0</v>
      </c>
      <c r="G309" s="845">
        <v>0</v>
      </c>
      <c r="H309" s="916">
        <v>0</v>
      </c>
      <c r="I309" s="838">
        <v>0</v>
      </c>
      <c r="J309" s="845">
        <v>0</v>
      </c>
      <c r="K309" s="916">
        <v>0</v>
      </c>
      <c r="L309" s="838">
        <v>0</v>
      </c>
      <c r="M309" s="845">
        <v>0</v>
      </c>
      <c r="N309" s="916">
        <v>0</v>
      </c>
      <c r="O309" s="838">
        <v>0</v>
      </c>
      <c r="P309" s="845">
        <v>0</v>
      </c>
      <c r="Q309" s="916">
        <v>0</v>
      </c>
      <c r="R309" s="838">
        <v>0</v>
      </c>
      <c r="S309" s="845">
        <v>0</v>
      </c>
      <c r="T309" s="916">
        <v>0</v>
      </c>
      <c r="U309" s="838">
        <v>0</v>
      </c>
      <c r="V309" s="845">
        <v>0</v>
      </c>
      <c r="W309" s="916">
        <v>0</v>
      </c>
      <c r="X309" s="838">
        <v>0</v>
      </c>
      <c r="Y309" s="845">
        <v>0</v>
      </c>
      <c r="Z309" s="916">
        <v>0</v>
      </c>
      <c r="AA309" s="838">
        <v>0</v>
      </c>
      <c r="AB309" s="845">
        <v>0</v>
      </c>
      <c r="AC309" s="916">
        <v>0</v>
      </c>
      <c r="AD309" s="838">
        <v>0</v>
      </c>
      <c r="AE309" s="845">
        <v>0</v>
      </c>
      <c r="AF309" s="916">
        <v>0</v>
      </c>
      <c r="AG309" s="838">
        <v>0</v>
      </c>
      <c r="AH309" s="845">
        <v>0</v>
      </c>
      <c r="AI309" s="916">
        <v>0</v>
      </c>
      <c r="AJ309" s="838">
        <v>0</v>
      </c>
      <c r="AK309" s="845">
        <v>0</v>
      </c>
      <c r="AL309" s="916">
        <v>0</v>
      </c>
      <c r="AM309" s="838">
        <v>0</v>
      </c>
      <c r="AN309" s="845">
        <v>0</v>
      </c>
      <c r="AO309" s="916">
        <v>0</v>
      </c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801655.19</v>
      </c>
      <c r="D310" s="875">
        <v>0.24752835442879059</v>
      </c>
      <c r="E310" s="834">
        <v>198432.38999999946</v>
      </c>
      <c r="F310" s="881">
        <v>14340.61</v>
      </c>
      <c r="G310" s="875">
        <v>0.27410479749466721</v>
      </c>
      <c r="H310" s="834">
        <v>3930.83</v>
      </c>
      <c r="I310" s="881">
        <v>25367.69</v>
      </c>
      <c r="J310" s="875">
        <v>0.28715976898172402</v>
      </c>
      <c r="K310" s="834">
        <v>7284.5799999999899</v>
      </c>
      <c r="L310" s="881">
        <v>33679.67</v>
      </c>
      <c r="M310" s="875">
        <v>0.25599716386769794</v>
      </c>
      <c r="N310" s="834">
        <v>8621.8999999999905</v>
      </c>
      <c r="O310" s="881">
        <v>112823.72</v>
      </c>
      <c r="P310" s="875">
        <v>0.23824653184631742</v>
      </c>
      <c r="Q310" s="834">
        <v>26879.86</v>
      </c>
      <c r="R310" s="881">
        <v>77451.34</v>
      </c>
      <c r="S310" s="875">
        <v>0.22690775911688424</v>
      </c>
      <c r="T310" s="834">
        <v>17574.309999999899</v>
      </c>
      <c r="U310" s="881">
        <v>46274.18</v>
      </c>
      <c r="V310" s="875">
        <v>0.24318291539688008</v>
      </c>
      <c r="W310" s="834">
        <v>11253.09</v>
      </c>
      <c r="X310" s="881">
        <v>50971.67</v>
      </c>
      <c r="Y310" s="875">
        <v>0.24610219755405111</v>
      </c>
      <c r="Z310" s="834">
        <v>12544.2399999999</v>
      </c>
      <c r="AA310" s="881">
        <v>44840.24</v>
      </c>
      <c r="AB310" s="875">
        <v>0.24863002517381486</v>
      </c>
      <c r="AC310" s="834">
        <v>11148.629999999899</v>
      </c>
      <c r="AD310" s="881">
        <v>54381.54</v>
      </c>
      <c r="AE310" s="875">
        <v>0.25736876888738347</v>
      </c>
      <c r="AF310" s="834">
        <v>13996.11</v>
      </c>
      <c r="AG310" s="881">
        <v>117139.92</v>
      </c>
      <c r="AH310" s="875">
        <v>0.25722093714935013</v>
      </c>
      <c r="AI310" s="834">
        <v>30130.839999999898</v>
      </c>
      <c r="AJ310" s="881">
        <v>162274.26</v>
      </c>
      <c r="AK310" s="875">
        <v>0.24469580080044734</v>
      </c>
      <c r="AL310" s="834">
        <v>39707.83</v>
      </c>
      <c r="AM310" s="881">
        <v>62110.35</v>
      </c>
      <c r="AN310" s="875">
        <v>0.24730451526999769</v>
      </c>
      <c r="AO310" s="834">
        <v>15360.1699999999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132021.76999999999</v>
      </c>
      <c r="D311" s="875">
        <v>0.34740687085167832</v>
      </c>
      <c r="E311" s="834">
        <v>45865.269999999975</v>
      </c>
      <c r="F311" s="881">
        <v>8096.1399999999903</v>
      </c>
      <c r="G311" s="875">
        <v>0.31687816663249435</v>
      </c>
      <c r="H311" s="834">
        <v>2565.4899999999998</v>
      </c>
      <c r="I311" s="881">
        <v>9161.9</v>
      </c>
      <c r="J311" s="875">
        <v>0.35078095154935007</v>
      </c>
      <c r="K311" s="834">
        <v>3213.8199999999902</v>
      </c>
      <c r="L311" s="881">
        <v>7986.67</v>
      </c>
      <c r="M311" s="875">
        <v>0.3357845009246645</v>
      </c>
      <c r="N311" s="834">
        <v>2681.7999999999902</v>
      </c>
      <c r="O311" s="881">
        <v>11968.93</v>
      </c>
      <c r="P311" s="875">
        <v>0.34924341607812892</v>
      </c>
      <c r="Q311" s="834">
        <v>4180.07</v>
      </c>
      <c r="R311" s="881">
        <v>16379.65</v>
      </c>
      <c r="S311" s="875">
        <v>0.34580103970475562</v>
      </c>
      <c r="T311" s="834">
        <v>5664.1</v>
      </c>
      <c r="U311" s="881">
        <v>10745.01</v>
      </c>
      <c r="V311" s="875">
        <v>0.35992241980230821</v>
      </c>
      <c r="W311" s="834">
        <v>3867.37</v>
      </c>
      <c r="X311" s="881">
        <v>11531.75</v>
      </c>
      <c r="Y311" s="875">
        <v>0.33973854792204133</v>
      </c>
      <c r="Z311" s="834">
        <v>3917.78</v>
      </c>
      <c r="AA311" s="881">
        <v>10292.290000000001</v>
      </c>
      <c r="AB311" s="875">
        <v>0.34626016173271446</v>
      </c>
      <c r="AC311" s="834">
        <v>3563.81</v>
      </c>
      <c r="AD311" s="881">
        <v>8938.6</v>
      </c>
      <c r="AE311" s="875">
        <v>0.34318237755353187</v>
      </c>
      <c r="AF311" s="834">
        <v>3067.57</v>
      </c>
      <c r="AG311" s="881">
        <v>13999.09</v>
      </c>
      <c r="AH311" s="875">
        <v>0.35547453441616561</v>
      </c>
      <c r="AI311" s="834">
        <v>4976.32</v>
      </c>
      <c r="AJ311" s="881">
        <v>13794.31</v>
      </c>
      <c r="AK311" s="875">
        <v>0.35493402714597538</v>
      </c>
      <c r="AL311" s="834">
        <v>4896.07</v>
      </c>
      <c r="AM311" s="881">
        <v>9127.43</v>
      </c>
      <c r="AN311" s="875">
        <v>0.35837798810837224</v>
      </c>
      <c r="AO311" s="834">
        <v>3271.07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3400398.919999999</v>
      </c>
      <c r="D312" s="914">
        <v>0.31341171288220443</v>
      </c>
      <c r="E312" s="915">
        <v>1065724.8499999978</v>
      </c>
      <c r="F312" s="913">
        <v>231857.31999999998</v>
      </c>
      <c r="G312" s="914">
        <v>0.29557686597947397</v>
      </c>
      <c r="H312" s="915">
        <v>68531.66</v>
      </c>
      <c r="I312" s="913">
        <v>180621.53999999978</v>
      </c>
      <c r="J312" s="914">
        <v>0.3111896842425329</v>
      </c>
      <c r="K312" s="915">
        <v>56207.559999999961</v>
      </c>
      <c r="L312" s="913">
        <v>218871.84</v>
      </c>
      <c r="M312" s="914">
        <v>0.38791235089904613</v>
      </c>
      <c r="N312" s="915">
        <v>84903.08999999988</v>
      </c>
      <c r="O312" s="913">
        <v>307892.45999999979</v>
      </c>
      <c r="P312" s="914">
        <v>0.27039340294335157</v>
      </c>
      <c r="Q312" s="915">
        <v>83252.089999999705</v>
      </c>
      <c r="R312" s="913">
        <v>357619.23999999987</v>
      </c>
      <c r="S312" s="914">
        <v>0.31907656869915568</v>
      </c>
      <c r="T312" s="915">
        <v>114107.91999999979</v>
      </c>
      <c r="U312" s="913">
        <v>265516.04999999987</v>
      </c>
      <c r="V312" s="914">
        <v>0.30553885537239628</v>
      </c>
      <c r="W312" s="915">
        <v>81125.469999999899</v>
      </c>
      <c r="X312" s="913">
        <v>289708.02</v>
      </c>
      <c r="Y312" s="914">
        <v>0.29424273446071603</v>
      </c>
      <c r="Z312" s="915">
        <v>85244.479999999807</v>
      </c>
      <c r="AA312" s="913">
        <v>222300.81999999992</v>
      </c>
      <c r="AB312" s="914">
        <v>0.32991673175114611</v>
      </c>
      <c r="AC312" s="915">
        <v>73340.759999999791</v>
      </c>
      <c r="AD312" s="913">
        <v>291496.04999999987</v>
      </c>
      <c r="AE312" s="914">
        <v>0.28838469680806905</v>
      </c>
      <c r="AF312" s="915">
        <v>84062.999999999694</v>
      </c>
      <c r="AG312" s="913">
        <v>350667.23999999993</v>
      </c>
      <c r="AH312" s="914">
        <v>0.32944323513083179</v>
      </c>
      <c r="AI312" s="915">
        <v>115524.94999999981</v>
      </c>
      <c r="AJ312" s="913">
        <v>446364.69</v>
      </c>
      <c r="AK312" s="914">
        <v>0.28782128801451534</v>
      </c>
      <c r="AL312" s="915">
        <v>128473.25999999986</v>
      </c>
      <c r="AM312" s="913">
        <v>237483.64999999991</v>
      </c>
      <c r="AN312" s="914">
        <v>0.38297630173698161</v>
      </c>
      <c r="AO312" s="915">
        <v>90950.609999999695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/>
      <c r="G314" s="917"/>
      <c r="H314" s="813"/>
      <c r="I314" s="812"/>
      <c r="J314" s="917"/>
      <c r="K314" s="813"/>
      <c r="L314" s="812"/>
      <c r="M314" s="917"/>
      <c r="N314" s="813"/>
      <c r="O314" s="812"/>
      <c r="P314" s="917"/>
      <c r="Q314" s="813"/>
      <c r="R314" s="812"/>
      <c r="S314" s="917"/>
      <c r="T314" s="813"/>
      <c r="U314" s="812"/>
      <c r="V314" s="917"/>
      <c r="W314" s="813"/>
      <c r="X314" s="812"/>
      <c r="Y314" s="917"/>
      <c r="Z314" s="813"/>
      <c r="AA314" s="812"/>
      <c r="AB314" s="917"/>
      <c r="AC314" s="813"/>
      <c r="AD314" s="812"/>
      <c r="AE314" s="917"/>
      <c r="AF314" s="813"/>
      <c r="AG314" s="812"/>
      <c r="AH314" s="917"/>
      <c r="AI314" s="813"/>
      <c r="AJ314" s="812"/>
      <c r="AK314" s="917"/>
      <c r="AL314" s="813"/>
      <c r="AM314" s="812"/>
      <c r="AN314" s="820"/>
      <c r="AO314" s="813"/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3400398.919999999</v>
      </c>
      <c r="D317" s="920">
        <v>0.31341171288220443</v>
      </c>
      <c r="E317" s="824">
        <v>1065724.8499999978</v>
      </c>
      <c r="F317" s="822">
        <v>231857.31999999998</v>
      </c>
      <c r="G317" s="920">
        <v>0.29557686597947397</v>
      </c>
      <c r="H317" s="824">
        <v>68531.66</v>
      </c>
      <c r="I317" s="822">
        <v>180621.53999999978</v>
      </c>
      <c r="J317" s="920">
        <v>0.3111896842425329</v>
      </c>
      <c r="K317" s="824">
        <v>56207.559999999961</v>
      </c>
      <c r="L317" s="822">
        <v>218871.84</v>
      </c>
      <c r="M317" s="920">
        <v>0.38791235089904613</v>
      </c>
      <c r="N317" s="824">
        <v>84903.08999999988</v>
      </c>
      <c r="O317" s="822">
        <v>307892.45999999979</v>
      </c>
      <c r="P317" s="920">
        <v>0.27039340294335157</v>
      </c>
      <c r="Q317" s="824">
        <v>83252.089999999705</v>
      </c>
      <c r="R317" s="822">
        <v>357619.23999999987</v>
      </c>
      <c r="S317" s="920">
        <v>0.31907656869915568</v>
      </c>
      <c r="T317" s="824">
        <v>114107.91999999979</v>
      </c>
      <c r="U317" s="822">
        <v>265516.04999999987</v>
      </c>
      <c r="V317" s="920">
        <v>0.30553885537239628</v>
      </c>
      <c r="W317" s="824">
        <v>81125.469999999899</v>
      </c>
      <c r="X317" s="822">
        <v>289708.02</v>
      </c>
      <c r="Y317" s="920">
        <v>0.29424273446071603</v>
      </c>
      <c r="Z317" s="824">
        <v>85244.479999999807</v>
      </c>
      <c r="AA317" s="822">
        <v>222300.81999999992</v>
      </c>
      <c r="AB317" s="920">
        <v>0.32991673175114611</v>
      </c>
      <c r="AC317" s="824">
        <v>73340.759999999791</v>
      </c>
      <c r="AD317" s="822">
        <v>291496.04999999987</v>
      </c>
      <c r="AE317" s="920">
        <v>0.28838469680806905</v>
      </c>
      <c r="AF317" s="824">
        <v>84062.999999999694</v>
      </c>
      <c r="AG317" s="822">
        <v>350667.23999999993</v>
      </c>
      <c r="AH317" s="920">
        <v>0.32944323513083179</v>
      </c>
      <c r="AI317" s="824">
        <v>115524.94999999981</v>
      </c>
      <c r="AJ317" s="822">
        <v>446364.69</v>
      </c>
      <c r="AK317" s="920">
        <v>0.28782128801451534</v>
      </c>
      <c r="AL317" s="824">
        <v>128473.25999999986</v>
      </c>
      <c r="AM317" s="822">
        <v>237483.64999999991</v>
      </c>
      <c r="AN317" s="920">
        <v>0.38297630173698161</v>
      </c>
      <c r="AO317" s="824">
        <v>90950.609999999695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38915.579999999994</v>
      </c>
      <c r="F321" s="812"/>
      <c r="G321" s="820"/>
      <c r="H321" s="834">
        <v>4331.03</v>
      </c>
      <c r="I321" s="812"/>
      <c r="J321" s="820"/>
      <c r="K321" s="834">
        <v>3422.83</v>
      </c>
      <c r="L321" s="812"/>
      <c r="M321" s="820"/>
      <c r="N321" s="834">
        <v>3526.86</v>
      </c>
      <c r="O321" s="812"/>
      <c r="P321" s="820"/>
      <c r="Q321" s="834">
        <v>3659.46</v>
      </c>
      <c r="R321" s="812"/>
      <c r="S321" s="820"/>
      <c r="T321" s="834">
        <v>4172.8</v>
      </c>
      <c r="U321" s="812"/>
      <c r="V321" s="820"/>
      <c r="W321" s="834">
        <v>3141.4</v>
      </c>
      <c r="X321" s="812"/>
      <c r="Y321" s="820"/>
      <c r="Z321" s="834">
        <v>3570.2</v>
      </c>
      <c r="AA321" s="812"/>
      <c r="AB321" s="820"/>
      <c r="AC321" s="834">
        <v>2914.2</v>
      </c>
      <c r="AD321" s="812"/>
      <c r="AE321" s="820"/>
      <c r="AF321" s="834">
        <v>2874.2</v>
      </c>
      <c r="AG321" s="812"/>
      <c r="AH321" s="820"/>
      <c r="AI321" s="834">
        <v>2434.1999999999998</v>
      </c>
      <c r="AJ321" s="812"/>
      <c r="AK321" s="820"/>
      <c r="AL321" s="834">
        <v>2434.1999999999998</v>
      </c>
      <c r="AM321" s="812"/>
      <c r="AN321" s="820"/>
      <c r="AO321" s="834">
        <v>2434.1999999999998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32563.379999999994</v>
      </c>
      <c r="F322" s="812"/>
      <c r="G322" s="820"/>
      <c r="H322" s="834">
        <v>2243.3200000000002</v>
      </c>
      <c r="I322" s="812"/>
      <c r="J322" s="820"/>
      <c r="K322" s="834">
        <v>2813.24</v>
      </c>
      <c r="L322" s="812"/>
      <c r="M322" s="820"/>
      <c r="N322" s="834">
        <v>2562</v>
      </c>
      <c r="O322" s="812"/>
      <c r="P322" s="820"/>
      <c r="Q322" s="834">
        <v>2411.1999999999998</v>
      </c>
      <c r="R322" s="812"/>
      <c r="S322" s="820"/>
      <c r="T322" s="834">
        <v>3155.8</v>
      </c>
      <c r="U322" s="812"/>
      <c r="V322" s="820"/>
      <c r="W322" s="834">
        <v>2723.56</v>
      </c>
      <c r="X322" s="812"/>
      <c r="Y322" s="820"/>
      <c r="Z322" s="834">
        <v>2569.71</v>
      </c>
      <c r="AA322" s="812"/>
      <c r="AB322" s="820"/>
      <c r="AC322" s="834">
        <v>2587.2800000000002</v>
      </c>
      <c r="AD322" s="812"/>
      <c r="AE322" s="820"/>
      <c r="AF322" s="834">
        <v>2859.6</v>
      </c>
      <c r="AG322" s="812"/>
      <c r="AH322" s="820"/>
      <c r="AI322" s="834">
        <v>3027.72</v>
      </c>
      <c r="AJ322" s="812"/>
      <c r="AK322" s="820"/>
      <c r="AL322" s="834">
        <v>2811.6</v>
      </c>
      <c r="AM322" s="812"/>
      <c r="AN322" s="820"/>
      <c r="AO322" s="834">
        <v>2798.35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155162.27999999997</v>
      </c>
      <c r="F323" s="842"/>
      <c r="G323" s="843"/>
      <c r="H323" s="844">
        <v>12693.87</v>
      </c>
      <c r="I323" s="842"/>
      <c r="J323" s="843"/>
      <c r="K323" s="844">
        <v>10228.16</v>
      </c>
      <c r="L323" s="842"/>
      <c r="M323" s="843"/>
      <c r="N323" s="844">
        <v>12085.48</v>
      </c>
      <c r="O323" s="842"/>
      <c r="P323" s="843"/>
      <c r="Q323" s="844">
        <v>14885.99</v>
      </c>
      <c r="R323" s="842"/>
      <c r="S323" s="843"/>
      <c r="T323" s="844">
        <v>13222.15</v>
      </c>
      <c r="U323" s="842"/>
      <c r="V323" s="843"/>
      <c r="W323" s="844">
        <v>10283.9</v>
      </c>
      <c r="X323" s="842"/>
      <c r="Y323" s="843"/>
      <c r="Z323" s="844">
        <v>11959.8</v>
      </c>
      <c r="AA323" s="842"/>
      <c r="AB323" s="843"/>
      <c r="AC323" s="844">
        <v>8667.3700000000008</v>
      </c>
      <c r="AD323" s="842"/>
      <c r="AE323" s="843"/>
      <c r="AF323" s="844">
        <v>15432.58</v>
      </c>
      <c r="AG323" s="842"/>
      <c r="AH323" s="843"/>
      <c r="AI323" s="844">
        <v>15276.95</v>
      </c>
      <c r="AJ323" s="842"/>
      <c r="AK323" s="843"/>
      <c r="AL323" s="844">
        <v>16511.98</v>
      </c>
      <c r="AM323" s="842"/>
      <c r="AN323" s="843"/>
      <c r="AO323" s="844">
        <v>13914.05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30666.159999999996</v>
      </c>
      <c r="F328" s="812"/>
      <c r="G328" s="820"/>
      <c r="H328" s="834">
        <v>2615.91</v>
      </c>
      <c r="I328" s="812"/>
      <c r="J328" s="820"/>
      <c r="K328" s="834">
        <v>5357.07</v>
      </c>
      <c r="L328" s="812"/>
      <c r="M328" s="820"/>
      <c r="N328" s="834">
        <v>1322.64</v>
      </c>
      <c r="O328" s="812"/>
      <c r="P328" s="820"/>
      <c r="Q328" s="834">
        <v>1471.97</v>
      </c>
      <c r="R328" s="812"/>
      <c r="S328" s="820"/>
      <c r="T328" s="834">
        <v>4672.66</v>
      </c>
      <c r="U328" s="812"/>
      <c r="V328" s="820"/>
      <c r="W328" s="834">
        <v>1995.77</v>
      </c>
      <c r="X328" s="812"/>
      <c r="Y328" s="820"/>
      <c r="Z328" s="834">
        <v>2136.89</v>
      </c>
      <c r="AA328" s="812"/>
      <c r="AB328" s="820"/>
      <c r="AC328" s="834">
        <v>2599.09</v>
      </c>
      <c r="AD328" s="812"/>
      <c r="AE328" s="820"/>
      <c r="AF328" s="834">
        <v>2251.85</v>
      </c>
      <c r="AG328" s="812"/>
      <c r="AH328" s="820"/>
      <c r="AI328" s="834">
        <v>1843.89</v>
      </c>
      <c r="AJ328" s="812"/>
      <c r="AK328" s="820"/>
      <c r="AL328" s="834">
        <v>2596.4299999999998</v>
      </c>
      <c r="AM328" s="812"/>
      <c r="AN328" s="820"/>
      <c r="AO328" s="834">
        <v>1801.99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40449.560000000005</v>
      </c>
      <c r="F329" s="842"/>
      <c r="G329" s="843"/>
      <c r="H329" s="844">
        <v>3854.31</v>
      </c>
      <c r="I329" s="842"/>
      <c r="J329" s="843"/>
      <c r="K329" s="844">
        <v>3085.95</v>
      </c>
      <c r="L329" s="842"/>
      <c r="M329" s="843"/>
      <c r="N329" s="844">
        <v>3352.59</v>
      </c>
      <c r="O329" s="842"/>
      <c r="P329" s="843"/>
      <c r="Q329" s="844">
        <v>3611.05</v>
      </c>
      <c r="R329" s="842"/>
      <c r="S329" s="843"/>
      <c r="T329" s="844">
        <v>3821.73</v>
      </c>
      <c r="U329" s="842"/>
      <c r="V329" s="843"/>
      <c r="W329" s="844">
        <v>3366.27</v>
      </c>
      <c r="X329" s="842"/>
      <c r="Y329" s="843"/>
      <c r="Z329" s="844">
        <v>3586.9</v>
      </c>
      <c r="AA329" s="842"/>
      <c r="AB329" s="843"/>
      <c r="AC329" s="844">
        <v>3793.66</v>
      </c>
      <c r="AD329" s="842"/>
      <c r="AE329" s="843"/>
      <c r="AF329" s="844">
        <v>3116.71</v>
      </c>
      <c r="AG329" s="842"/>
      <c r="AH329" s="843"/>
      <c r="AI329" s="844">
        <v>3045.94</v>
      </c>
      <c r="AJ329" s="842"/>
      <c r="AK329" s="843"/>
      <c r="AL329" s="844">
        <v>2755.91</v>
      </c>
      <c r="AM329" s="842"/>
      <c r="AN329" s="843"/>
      <c r="AO329" s="844">
        <v>3058.54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20175.999999999996</v>
      </c>
      <c r="F330" s="812"/>
      <c r="G330" s="820"/>
      <c r="H330" s="834">
        <v>1790.74</v>
      </c>
      <c r="I330" s="812"/>
      <c r="J330" s="820"/>
      <c r="K330" s="834">
        <v>2222.61</v>
      </c>
      <c r="L330" s="812"/>
      <c r="M330" s="820"/>
      <c r="N330" s="834">
        <v>1626.73</v>
      </c>
      <c r="O330" s="812"/>
      <c r="P330" s="820"/>
      <c r="Q330" s="834">
        <v>1729.64</v>
      </c>
      <c r="R330" s="812"/>
      <c r="S330" s="820"/>
      <c r="T330" s="834">
        <v>1865.62</v>
      </c>
      <c r="U330" s="812"/>
      <c r="V330" s="820"/>
      <c r="W330" s="834">
        <v>1348.9</v>
      </c>
      <c r="X330" s="812"/>
      <c r="Y330" s="820"/>
      <c r="Z330" s="834">
        <v>1863.62</v>
      </c>
      <c r="AA330" s="812"/>
      <c r="AB330" s="820"/>
      <c r="AC330" s="834">
        <v>1958.57</v>
      </c>
      <c r="AD330" s="812"/>
      <c r="AE330" s="820"/>
      <c r="AF330" s="834">
        <v>1575.29</v>
      </c>
      <c r="AG330" s="812"/>
      <c r="AH330" s="820"/>
      <c r="AI330" s="834">
        <v>1781.51</v>
      </c>
      <c r="AJ330" s="812"/>
      <c r="AK330" s="820"/>
      <c r="AL330" s="834">
        <v>735.92</v>
      </c>
      <c r="AM330" s="812"/>
      <c r="AN330" s="820"/>
      <c r="AO330" s="834">
        <v>1676.85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3409.29</v>
      </c>
      <c r="F331" s="812"/>
      <c r="G331" s="820"/>
      <c r="H331" s="834">
        <v>360.2</v>
      </c>
      <c r="I331" s="812"/>
      <c r="J331" s="820"/>
      <c r="K331" s="834">
        <v>559.98</v>
      </c>
      <c r="L331" s="812"/>
      <c r="M331" s="820"/>
      <c r="N331" s="834">
        <v>275.11</v>
      </c>
      <c r="O331" s="812"/>
      <c r="P331" s="820"/>
      <c r="Q331" s="834">
        <v>384.94</v>
      </c>
      <c r="R331" s="812"/>
      <c r="S331" s="820"/>
      <c r="T331" s="834">
        <v>335.55</v>
      </c>
      <c r="U331" s="812"/>
      <c r="V331" s="820"/>
      <c r="W331" s="834">
        <v>272.83</v>
      </c>
      <c r="X331" s="812"/>
      <c r="Y331" s="820"/>
      <c r="Z331" s="834">
        <v>-102.83</v>
      </c>
      <c r="AA331" s="812"/>
      <c r="AB331" s="820"/>
      <c r="AC331" s="834">
        <v>327.83</v>
      </c>
      <c r="AD331" s="812"/>
      <c r="AE331" s="820"/>
      <c r="AF331" s="834">
        <v>243.37</v>
      </c>
      <c r="AG331" s="812"/>
      <c r="AH331" s="820"/>
      <c r="AI331" s="834">
        <v>280.26</v>
      </c>
      <c r="AJ331" s="812"/>
      <c r="AK331" s="820"/>
      <c r="AL331" s="834">
        <v>256.94</v>
      </c>
      <c r="AM331" s="812"/>
      <c r="AN331" s="820"/>
      <c r="AO331" s="834">
        <v>215.11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/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0.30152459145529037</v>
      </c>
      <c r="E333" s="841">
        <v>321342.24999999994</v>
      </c>
      <c r="F333" s="839"/>
      <c r="G333" s="840"/>
      <c r="H333" s="841">
        <v>27889.38</v>
      </c>
      <c r="I333" s="839"/>
      <c r="J333" s="840"/>
      <c r="K333" s="841">
        <v>27689.84</v>
      </c>
      <c r="L333" s="839"/>
      <c r="M333" s="840"/>
      <c r="N333" s="841">
        <v>24751.41</v>
      </c>
      <c r="O333" s="839"/>
      <c r="P333" s="840"/>
      <c r="Q333" s="841">
        <v>28154.25</v>
      </c>
      <c r="R333" s="839"/>
      <c r="S333" s="840"/>
      <c r="T333" s="841">
        <v>31246.309999999899</v>
      </c>
      <c r="U333" s="839"/>
      <c r="V333" s="840"/>
      <c r="W333" s="841">
        <v>23132.63</v>
      </c>
      <c r="X333" s="839"/>
      <c r="Y333" s="840"/>
      <c r="Z333" s="841">
        <v>25584.289999999899</v>
      </c>
      <c r="AA333" s="839"/>
      <c r="AB333" s="840"/>
      <c r="AC333" s="841">
        <v>22848</v>
      </c>
      <c r="AD333" s="839"/>
      <c r="AE333" s="840"/>
      <c r="AF333" s="841">
        <v>28353.5999999999</v>
      </c>
      <c r="AG333" s="839"/>
      <c r="AH333" s="840"/>
      <c r="AI333" s="841">
        <v>27690.469999999899</v>
      </c>
      <c r="AJ333" s="839"/>
      <c r="AK333" s="840"/>
      <c r="AL333" s="841">
        <v>28102.979999999901</v>
      </c>
      <c r="AM333" s="839"/>
      <c r="AN333" s="840"/>
      <c r="AO333" s="841">
        <v>25899.09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38906.42</v>
      </c>
      <c r="F334" s="812"/>
      <c r="G334" s="820"/>
      <c r="H334" s="834">
        <v>2222.83</v>
      </c>
      <c r="I334" s="812"/>
      <c r="J334" s="820"/>
      <c r="K334" s="834">
        <v>2223.3000000000002</v>
      </c>
      <c r="L334" s="812"/>
      <c r="M334" s="820"/>
      <c r="N334" s="834">
        <v>4000.83</v>
      </c>
      <c r="O334" s="812"/>
      <c r="P334" s="820"/>
      <c r="Q334" s="834">
        <v>3548.03</v>
      </c>
      <c r="R334" s="812"/>
      <c r="S334" s="820"/>
      <c r="T334" s="834">
        <v>3518.3</v>
      </c>
      <c r="U334" s="812"/>
      <c r="V334" s="820"/>
      <c r="W334" s="834">
        <v>2182.64</v>
      </c>
      <c r="X334" s="812"/>
      <c r="Y334" s="820"/>
      <c r="Z334" s="834">
        <v>2340.34</v>
      </c>
      <c r="AA334" s="812"/>
      <c r="AB334" s="820"/>
      <c r="AC334" s="834">
        <v>2058.5700000000002</v>
      </c>
      <c r="AD334" s="812"/>
      <c r="AE334" s="820"/>
      <c r="AF334" s="834">
        <v>3749.83</v>
      </c>
      <c r="AG334" s="812"/>
      <c r="AH334" s="820"/>
      <c r="AI334" s="834">
        <v>8006.57</v>
      </c>
      <c r="AJ334" s="812"/>
      <c r="AK334" s="820"/>
      <c r="AL334" s="834">
        <v>1451.71</v>
      </c>
      <c r="AM334" s="812"/>
      <c r="AN334" s="820"/>
      <c r="AO334" s="834">
        <v>3603.47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7545.0999999999985</v>
      </c>
      <c r="F335" s="812"/>
      <c r="G335" s="820"/>
      <c r="H335" s="834">
        <v>196.66</v>
      </c>
      <c r="I335" s="812"/>
      <c r="J335" s="820"/>
      <c r="K335" s="834">
        <v>1235.32</v>
      </c>
      <c r="L335" s="812"/>
      <c r="M335" s="820"/>
      <c r="N335" s="834">
        <v>785.17</v>
      </c>
      <c r="O335" s="812"/>
      <c r="P335" s="820"/>
      <c r="Q335" s="834">
        <v>2876.94</v>
      </c>
      <c r="R335" s="812"/>
      <c r="S335" s="820"/>
      <c r="T335" s="834">
        <v>385.10999999999899</v>
      </c>
      <c r="U335" s="812"/>
      <c r="V335" s="820"/>
      <c r="W335" s="834">
        <v>118.54</v>
      </c>
      <c r="X335" s="812"/>
      <c r="Y335" s="820"/>
      <c r="Z335" s="834">
        <v>191.63</v>
      </c>
      <c r="AA335" s="812"/>
      <c r="AB335" s="820"/>
      <c r="AC335" s="834">
        <v>36.74</v>
      </c>
      <c r="AD335" s="812"/>
      <c r="AE335" s="820"/>
      <c r="AF335" s="834">
        <v>363.51</v>
      </c>
      <c r="AG335" s="812"/>
      <c r="AH335" s="820"/>
      <c r="AI335" s="834">
        <v>569.41</v>
      </c>
      <c r="AJ335" s="812"/>
      <c r="AK335" s="820"/>
      <c r="AL335" s="834">
        <v>817.42</v>
      </c>
      <c r="AM335" s="812"/>
      <c r="AN335" s="820"/>
      <c r="AO335" s="834">
        <v>-31.35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57108.679999999986</v>
      </c>
      <c r="F336" s="838"/>
      <c r="G336" s="845"/>
      <c r="H336" s="837">
        <v>3225.72999999999</v>
      </c>
      <c r="I336" s="838"/>
      <c r="J336" s="845"/>
      <c r="K336" s="837">
        <v>4305.53</v>
      </c>
      <c r="L336" s="838"/>
      <c r="M336" s="845"/>
      <c r="N336" s="837">
        <v>2473.94</v>
      </c>
      <c r="O336" s="838"/>
      <c r="P336" s="845"/>
      <c r="Q336" s="837">
        <v>4303.67</v>
      </c>
      <c r="R336" s="838"/>
      <c r="S336" s="845"/>
      <c r="T336" s="837">
        <v>4525.33</v>
      </c>
      <c r="U336" s="838"/>
      <c r="V336" s="845"/>
      <c r="W336" s="837">
        <v>4832.04</v>
      </c>
      <c r="X336" s="838"/>
      <c r="Y336" s="845"/>
      <c r="Z336" s="837">
        <v>6202.11</v>
      </c>
      <c r="AA336" s="838"/>
      <c r="AB336" s="845"/>
      <c r="AC336" s="837">
        <v>5126.7299999999996</v>
      </c>
      <c r="AD336" s="838"/>
      <c r="AE336" s="845"/>
      <c r="AF336" s="837">
        <v>4089.76</v>
      </c>
      <c r="AG336" s="838"/>
      <c r="AH336" s="845"/>
      <c r="AI336" s="837">
        <v>5082.68</v>
      </c>
      <c r="AJ336" s="838"/>
      <c r="AK336" s="845"/>
      <c r="AL336" s="837">
        <v>6702.78999999999</v>
      </c>
      <c r="AM336" s="838"/>
      <c r="AN336" s="845"/>
      <c r="AO336" s="837">
        <v>6238.37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21479.54</v>
      </c>
      <c r="F337" s="812"/>
      <c r="G337" s="820"/>
      <c r="H337" s="834">
        <v>1928.89</v>
      </c>
      <c r="I337" s="812"/>
      <c r="J337" s="820"/>
      <c r="K337" s="834">
        <v>1666.09</v>
      </c>
      <c r="L337" s="812"/>
      <c r="M337" s="820"/>
      <c r="N337" s="834">
        <v>1666.09</v>
      </c>
      <c r="O337" s="812"/>
      <c r="P337" s="820"/>
      <c r="Q337" s="834">
        <v>1777.19</v>
      </c>
      <c r="R337" s="812"/>
      <c r="S337" s="820"/>
      <c r="T337" s="834">
        <v>1829.89</v>
      </c>
      <c r="U337" s="812"/>
      <c r="V337" s="820"/>
      <c r="W337" s="834">
        <v>1709.27</v>
      </c>
      <c r="X337" s="812"/>
      <c r="Y337" s="820"/>
      <c r="Z337" s="834">
        <v>1779.49</v>
      </c>
      <c r="AA337" s="812"/>
      <c r="AB337" s="820"/>
      <c r="AC337" s="834">
        <v>1769.38</v>
      </c>
      <c r="AD337" s="812"/>
      <c r="AE337" s="820"/>
      <c r="AF337" s="834">
        <v>1666.09</v>
      </c>
      <c r="AG337" s="812"/>
      <c r="AH337" s="820"/>
      <c r="AI337" s="834">
        <v>2020.06</v>
      </c>
      <c r="AJ337" s="812"/>
      <c r="AK337" s="820"/>
      <c r="AL337" s="834">
        <v>1717.09</v>
      </c>
      <c r="AM337" s="812"/>
      <c r="AN337" s="820"/>
      <c r="AO337" s="834">
        <v>1950.01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2754.8900000000003</v>
      </c>
      <c r="F338" s="812"/>
      <c r="G338" s="820"/>
      <c r="H338" s="834">
        <v>255.57</v>
      </c>
      <c r="I338" s="812"/>
      <c r="J338" s="820"/>
      <c r="K338" s="834">
        <v>178.22</v>
      </c>
      <c r="L338" s="812"/>
      <c r="M338" s="820"/>
      <c r="N338" s="834">
        <v>653.71</v>
      </c>
      <c r="O338" s="812"/>
      <c r="P338" s="820"/>
      <c r="Q338" s="834">
        <v>626.54</v>
      </c>
      <c r="R338" s="812"/>
      <c r="S338" s="820"/>
      <c r="T338" s="834">
        <v>167.9</v>
      </c>
      <c r="U338" s="812"/>
      <c r="V338" s="820"/>
      <c r="W338" s="834">
        <v>146.58000000000001</v>
      </c>
      <c r="X338" s="812"/>
      <c r="Y338" s="820"/>
      <c r="Z338" s="834">
        <v>-560.88</v>
      </c>
      <c r="AA338" s="812"/>
      <c r="AB338" s="820"/>
      <c r="AC338" s="834">
        <v>322.51</v>
      </c>
      <c r="AD338" s="812"/>
      <c r="AE338" s="820"/>
      <c r="AF338" s="834">
        <v>382.29</v>
      </c>
      <c r="AG338" s="812"/>
      <c r="AH338" s="820"/>
      <c r="AI338" s="834">
        <v>447.99</v>
      </c>
      <c r="AJ338" s="812"/>
      <c r="AK338" s="820"/>
      <c r="AL338" s="834">
        <v>141.25</v>
      </c>
      <c r="AM338" s="812"/>
      <c r="AN338" s="820"/>
      <c r="AO338" s="834">
        <v>-6.79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21588.270000000004</v>
      </c>
      <c r="F339" s="838"/>
      <c r="G339" s="845"/>
      <c r="H339" s="837">
        <v>1960.51</v>
      </c>
      <c r="I339" s="838"/>
      <c r="J339" s="845"/>
      <c r="K339" s="837">
        <v>1937.66</v>
      </c>
      <c r="L339" s="838"/>
      <c r="M339" s="845"/>
      <c r="N339" s="837">
        <v>1429.79</v>
      </c>
      <c r="O339" s="838"/>
      <c r="P339" s="845"/>
      <c r="Q339" s="837">
        <v>1731.92</v>
      </c>
      <c r="R339" s="838"/>
      <c r="S339" s="845"/>
      <c r="T339" s="837">
        <v>2176.35</v>
      </c>
      <c r="U339" s="838"/>
      <c r="V339" s="845"/>
      <c r="W339" s="837">
        <v>1830.59</v>
      </c>
      <c r="X339" s="838"/>
      <c r="Y339" s="845"/>
      <c r="Z339" s="837">
        <v>1704.23</v>
      </c>
      <c r="AA339" s="838"/>
      <c r="AB339" s="845"/>
      <c r="AC339" s="837">
        <v>1588.64</v>
      </c>
      <c r="AD339" s="838"/>
      <c r="AE339" s="845"/>
      <c r="AF339" s="837">
        <v>1717.76</v>
      </c>
      <c r="AG339" s="838"/>
      <c r="AH339" s="845"/>
      <c r="AI339" s="837">
        <v>1469.98</v>
      </c>
      <c r="AJ339" s="838"/>
      <c r="AK339" s="845"/>
      <c r="AL339" s="837">
        <v>1813.58</v>
      </c>
      <c r="AM339" s="838"/>
      <c r="AN339" s="845"/>
      <c r="AO339" s="837">
        <v>2227.2600000000002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289.81</v>
      </c>
      <c r="F341" s="812"/>
      <c r="G341" s="820"/>
      <c r="H341" s="834">
        <v>1.25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0</v>
      </c>
      <c r="R341" s="812"/>
      <c r="S341" s="820"/>
      <c r="T341" s="834">
        <v>0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0</v>
      </c>
      <c r="AD341" s="812"/>
      <c r="AE341" s="820"/>
      <c r="AF341" s="834">
        <v>0</v>
      </c>
      <c r="AG341" s="812"/>
      <c r="AH341" s="820"/>
      <c r="AI341" s="834">
        <v>1.75</v>
      </c>
      <c r="AJ341" s="812"/>
      <c r="AK341" s="820"/>
      <c r="AL341" s="834">
        <v>70.61</v>
      </c>
      <c r="AM341" s="812"/>
      <c r="AN341" s="820"/>
      <c r="AO341" s="834">
        <v>216.2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184.7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0</v>
      </c>
      <c r="O342" s="812"/>
      <c r="P342" s="820"/>
      <c r="Q342" s="834">
        <v>0</v>
      </c>
      <c r="R342" s="812"/>
      <c r="S342" s="820"/>
      <c r="T342" s="834">
        <v>0</v>
      </c>
      <c r="U342" s="812"/>
      <c r="V342" s="820"/>
      <c r="W342" s="834">
        <v>34.700000000000003</v>
      </c>
      <c r="X342" s="812"/>
      <c r="Y342" s="820"/>
      <c r="Z342" s="834">
        <v>40</v>
      </c>
      <c r="AA342" s="812"/>
      <c r="AB342" s="820"/>
      <c r="AC342" s="834">
        <v>110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3535.99</v>
      </c>
      <c r="F343" s="812"/>
      <c r="G343" s="820"/>
      <c r="H343" s="834">
        <v>769.81</v>
      </c>
      <c r="I343" s="812"/>
      <c r="J343" s="820"/>
      <c r="K343" s="834">
        <v>278.93</v>
      </c>
      <c r="L343" s="812"/>
      <c r="M343" s="820"/>
      <c r="N343" s="834">
        <v>70.069999999999993</v>
      </c>
      <c r="O343" s="812"/>
      <c r="P343" s="820"/>
      <c r="Q343" s="834">
        <v>183.86</v>
      </c>
      <c r="R343" s="812"/>
      <c r="S343" s="820"/>
      <c r="T343" s="834">
        <v>305.52999999999997</v>
      </c>
      <c r="U343" s="812"/>
      <c r="V343" s="820"/>
      <c r="W343" s="834">
        <v>223.46</v>
      </c>
      <c r="X343" s="812"/>
      <c r="Y343" s="820"/>
      <c r="Z343" s="834">
        <v>333.92</v>
      </c>
      <c r="AA343" s="812"/>
      <c r="AB343" s="820"/>
      <c r="AC343" s="834">
        <v>393.25</v>
      </c>
      <c r="AD343" s="812"/>
      <c r="AE343" s="820"/>
      <c r="AF343" s="834">
        <v>153.65</v>
      </c>
      <c r="AG343" s="812"/>
      <c r="AH343" s="820"/>
      <c r="AI343" s="834">
        <v>380.76</v>
      </c>
      <c r="AJ343" s="812"/>
      <c r="AK343" s="820"/>
      <c r="AL343" s="834">
        <v>227.93</v>
      </c>
      <c r="AM343" s="812"/>
      <c r="AN343" s="820"/>
      <c r="AO343" s="834">
        <v>214.82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1427.3799999999999</v>
      </c>
      <c r="F344" s="812"/>
      <c r="G344" s="820"/>
      <c r="H344" s="834">
        <v>105.38</v>
      </c>
      <c r="I344" s="812"/>
      <c r="J344" s="820"/>
      <c r="K344" s="834">
        <v>105.16</v>
      </c>
      <c r="L344" s="812"/>
      <c r="M344" s="820"/>
      <c r="N344" s="834">
        <v>131.69999999999999</v>
      </c>
      <c r="O344" s="812"/>
      <c r="P344" s="820"/>
      <c r="Q344" s="834">
        <v>119.64</v>
      </c>
      <c r="R344" s="812"/>
      <c r="S344" s="820"/>
      <c r="T344" s="834">
        <v>108.2</v>
      </c>
      <c r="U344" s="812"/>
      <c r="V344" s="820"/>
      <c r="W344" s="834">
        <v>165.65</v>
      </c>
      <c r="X344" s="812"/>
      <c r="Y344" s="820"/>
      <c r="Z344" s="834">
        <v>101.57</v>
      </c>
      <c r="AA344" s="812"/>
      <c r="AB344" s="820"/>
      <c r="AC344" s="834">
        <v>100.69</v>
      </c>
      <c r="AD344" s="812"/>
      <c r="AE344" s="820"/>
      <c r="AF344" s="834">
        <v>98.79</v>
      </c>
      <c r="AG344" s="812"/>
      <c r="AH344" s="820"/>
      <c r="AI344" s="834">
        <v>102.22</v>
      </c>
      <c r="AJ344" s="812"/>
      <c r="AK344" s="820"/>
      <c r="AL344" s="834">
        <v>186.34</v>
      </c>
      <c r="AM344" s="812"/>
      <c r="AN344" s="820"/>
      <c r="AO344" s="834">
        <v>102.04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6059.36</v>
      </c>
      <c r="F345" s="812"/>
      <c r="G345" s="820"/>
      <c r="H345" s="834">
        <v>792.78</v>
      </c>
      <c r="I345" s="812"/>
      <c r="J345" s="820"/>
      <c r="K345" s="834">
        <v>1053.94</v>
      </c>
      <c r="L345" s="812"/>
      <c r="M345" s="820"/>
      <c r="N345" s="834">
        <v>1276.42</v>
      </c>
      <c r="O345" s="812"/>
      <c r="P345" s="820"/>
      <c r="Q345" s="834">
        <v>910.18</v>
      </c>
      <c r="R345" s="812"/>
      <c r="S345" s="820"/>
      <c r="T345" s="834">
        <v>-739.36</v>
      </c>
      <c r="U345" s="812"/>
      <c r="V345" s="820"/>
      <c r="W345" s="834">
        <v>375.15</v>
      </c>
      <c r="X345" s="812"/>
      <c r="Y345" s="820"/>
      <c r="Z345" s="834">
        <v>-183.54</v>
      </c>
      <c r="AA345" s="812"/>
      <c r="AB345" s="820"/>
      <c r="AC345" s="834">
        <v>-432.3</v>
      </c>
      <c r="AD345" s="812"/>
      <c r="AE345" s="820"/>
      <c r="AF345" s="834">
        <v>829.87</v>
      </c>
      <c r="AG345" s="812"/>
      <c r="AH345" s="820"/>
      <c r="AI345" s="834">
        <v>1278.72</v>
      </c>
      <c r="AJ345" s="812"/>
      <c r="AK345" s="820"/>
      <c r="AL345" s="834">
        <v>383.89</v>
      </c>
      <c r="AM345" s="812"/>
      <c r="AN345" s="820"/>
      <c r="AO345" s="834">
        <v>513.61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4033.7</v>
      </c>
      <c r="F346" s="812"/>
      <c r="G346" s="820"/>
      <c r="H346" s="834">
        <v>427.36</v>
      </c>
      <c r="I346" s="812"/>
      <c r="J346" s="820"/>
      <c r="K346" s="834">
        <v>290.3</v>
      </c>
      <c r="L346" s="812"/>
      <c r="M346" s="820"/>
      <c r="N346" s="834">
        <v>322.89999999999998</v>
      </c>
      <c r="O346" s="812"/>
      <c r="P346" s="820"/>
      <c r="Q346" s="834">
        <v>370.2</v>
      </c>
      <c r="R346" s="812"/>
      <c r="S346" s="820"/>
      <c r="T346" s="834">
        <v>289.2</v>
      </c>
      <c r="U346" s="812"/>
      <c r="V346" s="820"/>
      <c r="W346" s="834">
        <v>289.2</v>
      </c>
      <c r="X346" s="812"/>
      <c r="Y346" s="820"/>
      <c r="Z346" s="834">
        <v>289.2</v>
      </c>
      <c r="AA346" s="812"/>
      <c r="AB346" s="820"/>
      <c r="AC346" s="834">
        <v>370.2</v>
      </c>
      <c r="AD346" s="812"/>
      <c r="AE346" s="820"/>
      <c r="AF346" s="834">
        <v>289.2</v>
      </c>
      <c r="AG346" s="812"/>
      <c r="AH346" s="820"/>
      <c r="AI346" s="834">
        <v>289.2</v>
      </c>
      <c r="AJ346" s="812"/>
      <c r="AK346" s="820"/>
      <c r="AL346" s="834">
        <v>328.8</v>
      </c>
      <c r="AM346" s="812"/>
      <c r="AN346" s="820"/>
      <c r="AO346" s="834">
        <v>477.94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788.81</v>
      </c>
      <c r="F347" s="812"/>
      <c r="G347" s="820"/>
      <c r="H347" s="834">
        <v>-565.47</v>
      </c>
      <c r="I347" s="812"/>
      <c r="J347" s="820"/>
      <c r="K347" s="834">
        <v>276.39</v>
      </c>
      <c r="L347" s="812"/>
      <c r="M347" s="820"/>
      <c r="N347" s="834">
        <v>311.14999999999998</v>
      </c>
      <c r="O347" s="812"/>
      <c r="P347" s="820"/>
      <c r="Q347" s="834">
        <v>130.77000000000001</v>
      </c>
      <c r="R347" s="812"/>
      <c r="S347" s="820"/>
      <c r="T347" s="834">
        <v>-397.61</v>
      </c>
      <c r="U347" s="812"/>
      <c r="V347" s="820"/>
      <c r="W347" s="834">
        <v>-21.47</v>
      </c>
      <c r="X347" s="812"/>
      <c r="Y347" s="820"/>
      <c r="Z347" s="834">
        <v>223.73</v>
      </c>
      <c r="AA347" s="812"/>
      <c r="AB347" s="820"/>
      <c r="AC347" s="834">
        <v>433.32</v>
      </c>
      <c r="AD347" s="812"/>
      <c r="AE347" s="820"/>
      <c r="AF347" s="834">
        <v>79.930000000000007</v>
      </c>
      <c r="AG347" s="812"/>
      <c r="AH347" s="820"/>
      <c r="AI347" s="834">
        <v>223.62</v>
      </c>
      <c r="AJ347" s="812"/>
      <c r="AK347" s="820"/>
      <c r="AL347" s="834">
        <v>-53</v>
      </c>
      <c r="AM347" s="812"/>
      <c r="AN347" s="820"/>
      <c r="AO347" s="834">
        <v>147.44999999999999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15948.069999999998</v>
      </c>
      <c r="F348" s="812"/>
      <c r="G348" s="820"/>
      <c r="H348" s="834">
        <v>702.74</v>
      </c>
      <c r="I348" s="812"/>
      <c r="J348" s="820"/>
      <c r="K348" s="834">
        <v>729.98</v>
      </c>
      <c r="L348" s="812"/>
      <c r="M348" s="820"/>
      <c r="N348" s="834">
        <v>1222.3699999999999</v>
      </c>
      <c r="O348" s="812"/>
      <c r="P348" s="820"/>
      <c r="Q348" s="834">
        <v>1950.25</v>
      </c>
      <c r="R348" s="812"/>
      <c r="S348" s="820"/>
      <c r="T348" s="834">
        <v>1826.24</v>
      </c>
      <c r="U348" s="812"/>
      <c r="V348" s="820"/>
      <c r="W348" s="834">
        <v>1094.07</v>
      </c>
      <c r="X348" s="812"/>
      <c r="Y348" s="820"/>
      <c r="Z348" s="834">
        <v>1330.56</v>
      </c>
      <c r="AA348" s="812"/>
      <c r="AB348" s="820"/>
      <c r="AC348" s="834">
        <v>887.88</v>
      </c>
      <c r="AD348" s="812"/>
      <c r="AE348" s="820"/>
      <c r="AF348" s="834">
        <v>1184.32</v>
      </c>
      <c r="AG348" s="812"/>
      <c r="AH348" s="820"/>
      <c r="AI348" s="834">
        <v>1754.92</v>
      </c>
      <c r="AJ348" s="812"/>
      <c r="AK348" s="820"/>
      <c r="AL348" s="834">
        <v>2128.4699999999998</v>
      </c>
      <c r="AM348" s="812"/>
      <c r="AN348" s="820"/>
      <c r="AO348" s="834">
        <v>1136.27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0.170448047636311</v>
      </c>
      <c r="E352" s="841">
        <v>181650.72</v>
      </c>
      <c r="F352" s="839" t="s">
        <v>108</v>
      </c>
      <c r="G352" s="840">
        <v>0.17545233837907895</v>
      </c>
      <c r="H352" s="841">
        <v>12024.03999999999</v>
      </c>
      <c r="I352" s="839" t="s">
        <v>108</v>
      </c>
      <c r="J352" s="840">
        <v>0.25407293965438116</v>
      </c>
      <c r="K352" s="841">
        <v>14280.819999999998</v>
      </c>
      <c r="L352" s="839" t="s">
        <v>108</v>
      </c>
      <c r="M352" s="840">
        <v>0.16894720792847495</v>
      </c>
      <c r="N352" s="841">
        <v>14344.140000000003</v>
      </c>
      <c r="O352" s="839" t="s">
        <v>108</v>
      </c>
      <c r="P352" s="840">
        <v>0.22256726527826587</v>
      </c>
      <c r="Q352" s="841">
        <v>18529.189999999999</v>
      </c>
      <c r="R352" s="839" t="s">
        <v>108</v>
      </c>
      <c r="S352" s="840">
        <v>0.12264775310951267</v>
      </c>
      <c r="T352" s="841">
        <v>13995.079999999998</v>
      </c>
      <c r="U352" s="839" t="s">
        <v>108</v>
      </c>
      <c r="V352" s="840">
        <v>0.1600042502065013</v>
      </c>
      <c r="W352" s="841">
        <v>12980.42</v>
      </c>
      <c r="X352" s="839" t="s">
        <v>108</v>
      </c>
      <c r="Y352" s="840">
        <v>0.16179769059533275</v>
      </c>
      <c r="Z352" s="841">
        <v>13792.359999999999</v>
      </c>
      <c r="AA352" s="839" t="s">
        <v>108</v>
      </c>
      <c r="AB352" s="840">
        <v>0.17405887258326797</v>
      </c>
      <c r="AC352" s="841">
        <v>12765.609999999999</v>
      </c>
      <c r="AD352" s="839" t="s">
        <v>108</v>
      </c>
      <c r="AE352" s="840">
        <v>0.17373874356137725</v>
      </c>
      <c r="AF352" s="841">
        <v>14605.000000000004</v>
      </c>
      <c r="AG352" s="839" t="s">
        <v>108</v>
      </c>
      <c r="AH352" s="840">
        <v>0.18721393084351071</v>
      </c>
      <c r="AI352" s="841">
        <v>21627.879999999997</v>
      </c>
      <c r="AJ352" s="839" t="s">
        <v>108</v>
      </c>
      <c r="AK352" s="840">
        <v>0.12389255164849096</v>
      </c>
      <c r="AL352" s="841">
        <v>15916.87999999999</v>
      </c>
      <c r="AM352" s="839" t="s">
        <v>108</v>
      </c>
      <c r="AN352" s="840">
        <v>0.18459799225095971</v>
      </c>
      <c r="AO352" s="841">
        <v>16789.300000000003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0.47197263909160136</v>
      </c>
      <c r="E354" s="850">
        <v>502992.97</v>
      </c>
      <c r="F354" s="839" t="s">
        <v>108</v>
      </c>
      <c r="G354" s="877">
        <v>0.58240848098528464</v>
      </c>
      <c r="H354" s="850">
        <v>39913.419999999991</v>
      </c>
      <c r="I354" s="839" t="s">
        <v>108</v>
      </c>
      <c r="J354" s="877">
        <v>0.74670844989535257</v>
      </c>
      <c r="K354" s="850">
        <v>41970.659999999996</v>
      </c>
      <c r="L354" s="839" t="s">
        <v>108</v>
      </c>
      <c r="M354" s="877">
        <v>0.46047264004172356</v>
      </c>
      <c r="N354" s="850">
        <v>39095.550000000003</v>
      </c>
      <c r="O354" s="839" t="s">
        <v>108</v>
      </c>
      <c r="P354" s="877">
        <v>0.56074796440546015</v>
      </c>
      <c r="Q354" s="850">
        <v>46683.44</v>
      </c>
      <c r="R354" s="839" t="s">
        <v>108</v>
      </c>
      <c r="S354" s="877">
        <v>0.39647896482557898</v>
      </c>
      <c r="T354" s="850">
        <v>45241.389999999898</v>
      </c>
      <c r="U354" s="839" t="s">
        <v>108</v>
      </c>
      <c r="V354" s="877">
        <v>0.44515057971312888</v>
      </c>
      <c r="W354" s="850">
        <v>36113.050000000003</v>
      </c>
      <c r="X354" s="839" t="s">
        <v>108</v>
      </c>
      <c r="Y354" s="877">
        <v>0.46192609773676829</v>
      </c>
      <c r="Z354" s="850">
        <v>39376.6499999999</v>
      </c>
      <c r="AA354" s="839" t="s">
        <v>108</v>
      </c>
      <c r="AB354" s="877">
        <v>0.48559095924285622</v>
      </c>
      <c r="AC354" s="850">
        <v>35613.61</v>
      </c>
      <c r="AD354" s="839" t="s">
        <v>108</v>
      </c>
      <c r="AE354" s="877">
        <v>0.51102863328694026</v>
      </c>
      <c r="AF354" s="850">
        <v>42958.599999999904</v>
      </c>
      <c r="AG354" s="839" t="s">
        <v>108</v>
      </c>
      <c r="AH354" s="877">
        <v>0.42690648210624615</v>
      </c>
      <c r="AI354" s="850">
        <v>49318.349999999897</v>
      </c>
      <c r="AJ354" s="839" t="s">
        <v>108</v>
      </c>
      <c r="AK354" s="877">
        <v>0.34263830465576989</v>
      </c>
      <c r="AL354" s="850">
        <v>44019.859999999891</v>
      </c>
      <c r="AM354" s="839" t="s">
        <v>108</v>
      </c>
      <c r="AN354" s="877">
        <v>0.46935792954000133</v>
      </c>
      <c r="AO354" s="850">
        <v>42688.39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562731.87999999779</v>
      </c>
      <c r="F356" s="878"/>
      <c r="G356" s="879"/>
      <c r="H356" s="859">
        <v>28618.240000000013</v>
      </c>
      <c r="I356" s="878"/>
      <c r="J356" s="879"/>
      <c r="K356" s="859">
        <v>14236.899999999965</v>
      </c>
      <c r="L356" s="878"/>
      <c r="M356" s="879"/>
      <c r="N356" s="859">
        <v>45807.539999999877</v>
      </c>
      <c r="O356" s="878"/>
      <c r="P356" s="879"/>
      <c r="Q356" s="859">
        <v>36568.649999999703</v>
      </c>
      <c r="R356" s="878"/>
      <c r="S356" s="879"/>
      <c r="T356" s="859">
        <v>68866.529999999897</v>
      </c>
      <c r="U356" s="878"/>
      <c r="V356" s="879"/>
      <c r="W356" s="859">
        <v>45012.419999999896</v>
      </c>
      <c r="X356" s="878"/>
      <c r="Y356" s="879"/>
      <c r="Z356" s="859">
        <v>45867.829999999907</v>
      </c>
      <c r="AA356" s="878"/>
      <c r="AB356" s="879"/>
      <c r="AC356" s="859">
        <v>37727.14999999979</v>
      </c>
      <c r="AD356" s="878"/>
      <c r="AE356" s="879"/>
      <c r="AF356" s="859">
        <v>41104.39999999979</v>
      </c>
      <c r="AG356" s="878"/>
      <c r="AH356" s="879"/>
      <c r="AI356" s="859">
        <v>66206.599999999919</v>
      </c>
      <c r="AJ356" s="878"/>
      <c r="AK356" s="879"/>
      <c r="AL356" s="859">
        <v>84453.399999999965</v>
      </c>
      <c r="AM356" s="878"/>
      <c r="AN356" s="879"/>
      <c r="AO356" s="859">
        <v>48262.219999999696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2813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2813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46633420.659999922</v>
      </c>
      <c r="F409" s="938"/>
      <c r="G409" s="939"/>
      <c r="H409" s="940">
        <v>2326772.09</v>
      </c>
      <c r="I409" s="938"/>
      <c r="J409" s="939"/>
      <c r="K409" s="940">
        <v>1920487.899999999</v>
      </c>
      <c r="L409" s="938"/>
      <c r="M409" s="939"/>
      <c r="N409" s="940">
        <v>3357798.6299999901</v>
      </c>
      <c r="O409" s="938"/>
      <c r="P409" s="939"/>
      <c r="Q409" s="940">
        <v>5136322.2499999888</v>
      </c>
      <c r="R409" s="938"/>
      <c r="S409" s="939"/>
      <c r="T409" s="940">
        <v>5500461.7199999895</v>
      </c>
      <c r="U409" s="938"/>
      <c r="V409" s="939"/>
      <c r="W409" s="940">
        <v>3580042.6199999899</v>
      </c>
      <c r="X409" s="938"/>
      <c r="Y409" s="939"/>
      <c r="Z409" s="940">
        <v>3269704.21</v>
      </c>
      <c r="AA409" s="938"/>
      <c r="AB409" s="939"/>
      <c r="AC409" s="940">
        <v>2910188.5</v>
      </c>
      <c r="AD409" s="938"/>
      <c r="AE409" s="939"/>
      <c r="AF409" s="940">
        <v>5438940.4500000002</v>
      </c>
      <c r="AG409" s="938"/>
      <c r="AH409" s="939"/>
      <c r="AI409" s="940">
        <v>4023235.1799999801</v>
      </c>
      <c r="AJ409" s="938"/>
      <c r="AK409" s="939"/>
      <c r="AL409" s="940">
        <v>4910909.9399999995</v>
      </c>
      <c r="AM409" s="938"/>
      <c r="AN409" s="939"/>
      <c r="AO409" s="940">
        <v>4258557.1699999897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4529849.0699999947</v>
      </c>
      <c r="F410" s="941"/>
      <c r="G410" s="942"/>
      <c r="H410" s="943">
        <v>234263.67999999961</v>
      </c>
      <c r="I410" s="941"/>
      <c r="J410" s="942"/>
      <c r="K410" s="943">
        <v>223423.25999999969</v>
      </c>
      <c r="L410" s="941"/>
      <c r="M410" s="942"/>
      <c r="N410" s="943">
        <v>331810.0699999996</v>
      </c>
      <c r="O410" s="941"/>
      <c r="P410" s="942"/>
      <c r="Q410" s="943">
        <v>471251.60999999964</v>
      </c>
      <c r="R410" s="941"/>
      <c r="S410" s="942"/>
      <c r="T410" s="943">
        <v>570108.11999999976</v>
      </c>
      <c r="U410" s="941"/>
      <c r="V410" s="942"/>
      <c r="W410" s="943">
        <v>328686.43999999954</v>
      </c>
      <c r="X410" s="941"/>
      <c r="Y410" s="942"/>
      <c r="Z410" s="943">
        <v>353927.73999999929</v>
      </c>
      <c r="AA410" s="941"/>
      <c r="AB410" s="942"/>
      <c r="AC410" s="943">
        <v>280020.35999999964</v>
      </c>
      <c r="AD410" s="941"/>
      <c r="AE410" s="942"/>
      <c r="AF410" s="943">
        <v>399283.09999999922</v>
      </c>
      <c r="AG410" s="941"/>
      <c r="AH410" s="942"/>
      <c r="AI410" s="943">
        <v>459457.18999999983</v>
      </c>
      <c r="AJ410" s="941"/>
      <c r="AK410" s="942"/>
      <c r="AL410" s="943">
        <v>495524.12999999942</v>
      </c>
      <c r="AM410" s="941"/>
      <c r="AN410" s="942"/>
      <c r="AO410" s="943">
        <v>382093.3699999997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>
        <v>0</v>
      </c>
      <c r="H411" s="946"/>
      <c r="I411" s="944"/>
      <c r="J411" s="945">
        <v>0</v>
      </c>
      <c r="K411" s="946"/>
      <c r="L411" s="944"/>
      <c r="M411" s="945">
        <v>0</v>
      </c>
      <c r="N411" s="946"/>
      <c r="O411" s="944"/>
      <c r="P411" s="945">
        <v>0</v>
      </c>
      <c r="Q411" s="946"/>
      <c r="R411" s="944"/>
      <c r="S411" s="945">
        <v>0</v>
      </c>
      <c r="T411" s="946"/>
      <c r="U411" s="944"/>
      <c r="V411" s="945">
        <v>0</v>
      </c>
      <c r="W411" s="946"/>
      <c r="X411" s="944"/>
      <c r="Y411" s="945">
        <v>0</v>
      </c>
      <c r="Z411" s="946"/>
      <c r="AA411" s="944"/>
      <c r="AB411" s="945">
        <v>0</v>
      </c>
      <c r="AC411" s="946"/>
      <c r="AD411" s="944"/>
      <c r="AE411" s="945">
        <v>0</v>
      </c>
      <c r="AF411" s="946"/>
      <c r="AG411" s="944"/>
      <c r="AH411" s="945">
        <v>0</v>
      </c>
      <c r="AI411" s="946"/>
      <c r="AJ411" s="944"/>
      <c r="AK411" s="945">
        <v>0</v>
      </c>
      <c r="AL411" s="946"/>
      <c r="AM411" s="944"/>
      <c r="AN411" s="945">
        <v>0</v>
      </c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0.31132089991587447</v>
      </c>
      <c r="D412" s="948">
        <v>1003.1558119658119</v>
      </c>
      <c r="E412" s="946">
        <v>469476.92</v>
      </c>
      <c r="F412" s="947"/>
      <c r="G412" s="948">
        <v>2736.3333333333335</v>
      </c>
      <c r="H412" s="946">
        <v>24627</v>
      </c>
      <c r="I412" s="947"/>
      <c r="J412" s="948">
        <v>2441.4357142857143</v>
      </c>
      <c r="K412" s="946">
        <v>17090.05</v>
      </c>
      <c r="L412" s="947"/>
      <c r="M412" s="948">
        <v>1785.5714285714287</v>
      </c>
      <c r="N412" s="946">
        <v>37497</v>
      </c>
      <c r="O412" s="947"/>
      <c r="P412" s="948">
        <v>1526.8991891891892</v>
      </c>
      <c r="Q412" s="946">
        <v>56495.27</v>
      </c>
      <c r="R412" s="947"/>
      <c r="S412" s="948">
        <v>1712.2438461538461</v>
      </c>
      <c r="T412" s="946">
        <v>66777.509999999995</v>
      </c>
      <c r="U412" s="947"/>
      <c r="V412" s="948">
        <v>1408.7004545454547</v>
      </c>
      <c r="W412" s="946">
        <v>30991.410000000003</v>
      </c>
      <c r="X412" s="947"/>
      <c r="Y412" s="948">
        <v>1338.0981818181817</v>
      </c>
      <c r="Z412" s="946">
        <v>29438.159999999996</v>
      </c>
      <c r="AA412" s="947"/>
      <c r="AB412" s="948">
        <v>1194.9659999999999</v>
      </c>
      <c r="AC412" s="946">
        <v>23899.32</v>
      </c>
      <c r="AD412" s="947"/>
      <c r="AE412" s="948">
        <v>1517.7296551724139</v>
      </c>
      <c r="AF412" s="946">
        <v>44014.16</v>
      </c>
      <c r="AG412" s="947"/>
      <c r="AH412" s="948">
        <v>1484.7525925925927</v>
      </c>
      <c r="AI412" s="946">
        <v>40088.32</v>
      </c>
      <c r="AJ412" s="947"/>
      <c r="AK412" s="948">
        <v>1487.3085714285714</v>
      </c>
      <c r="AL412" s="946">
        <v>52055.8</v>
      </c>
      <c r="AM412" s="947"/>
      <c r="AN412" s="948">
        <v>1937.6216666666667</v>
      </c>
      <c r="AO412" s="946">
        <v>46502.92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0.35914567268254544</v>
      </c>
      <c r="D413" s="950">
        <v>591.17866510538647</v>
      </c>
      <c r="E413" s="940">
        <v>252433.29000000004</v>
      </c>
      <c r="F413" s="949"/>
      <c r="G413" s="950">
        <v>1479.4722222222222</v>
      </c>
      <c r="H413" s="940">
        <v>13315.25</v>
      </c>
      <c r="I413" s="949"/>
      <c r="J413" s="950">
        <v>2447.2000000000003</v>
      </c>
      <c r="K413" s="940">
        <v>17130.400000000001</v>
      </c>
      <c r="L413" s="949"/>
      <c r="M413" s="950">
        <v>967.04857142857145</v>
      </c>
      <c r="N413" s="940">
        <v>20308.02</v>
      </c>
      <c r="O413" s="949"/>
      <c r="P413" s="950">
        <v>854.34189189189192</v>
      </c>
      <c r="Q413" s="940">
        <v>31610.65</v>
      </c>
      <c r="R413" s="949"/>
      <c r="S413" s="950">
        <v>969.69076923076932</v>
      </c>
      <c r="T413" s="940">
        <v>37817.94</v>
      </c>
      <c r="U413" s="949"/>
      <c r="V413" s="950">
        <v>745.95181818181834</v>
      </c>
      <c r="W413" s="940">
        <v>16410.940000000002</v>
      </c>
      <c r="X413" s="949"/>
      <c r="Y413" s="950">
        <v>724.9909090909091</v>
      </c>
      <c r="Z413" s="940">
        <v>15949.8</v>
      </c>
      <c r="AA413" s="949"/>
      <c r="AB413" s="950">
        <v>573.13350000000003</v>
      </c>
      <c r="AC413" s="940">
        <v>11462.67</v>
      </c>
      <c r="AD413" s="949"/>
      <c r="AE413" s="950">
        <v>831.61206896551721</v>
      </c>
      <c r="AF413" s="940">
        <v>24116.75</v>
      </c>
      <c r="AG413" s="949"/>
      <c r="AH413" s="950">
        <v>499.32222222222225</v>
      </c>
      <c r="AI413" s="940">
        <v>13481.7</v>
      </c>
      <c r="AJ413" s="949"/>
      <c r="AK413" s="950">
        <v>927.79057142857141</v>
      </c>
      <c r="AL413" s="940">
        <v>32472.67</v>
      </c>
      <c r="AM413" s="949"/>
      <c r="AN413" s="950">
        <v>764.85416666666663</v>
      </c>
      <c r="AO413" s="940">
        <v>18356.5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116.80159250585481</v>
      </c>
      <c r="E414" s="946">
        <v>49874.280000000006</v>
      </c>
      <c r="F414" s="947"/>
      <c r="G414" s="948">
        <v>212.57333333333332</v>
      </c>
      <c r="H414" s="946">
        <v>1913.1599999999999</v>
      </c>
      <c r="I414" s="947"/>
      <c r="J414" s="948">
        <v>487.47285714285721</v>
      </c>
      <c r="K414" s="946">
        <v>3412.3100000000004</v>
      </c>
      <c r="L414" s="947"/>
      <c r="M414" s="948">
        <v>178.1847619047619</v>
      </c>
      <c r="N414" s="946">
        <v>3741.88</v>
      </c>
      <c r="O414" s="947"/>
      <c r="P414" s="948">
        <v>108.65486486486488</v>
      </c>
      <c r="Q414" s="946">
        <v>4020.2300000000005</v>
      </c>
      <c r="R414" s="947"/>
      <c r="S414" s="948">
        <v>142.00230769230771</v>
      </c>
      <c r="T414" s="946">
        <v>5538.09</v>
      </c>
      <c r="U414" s="947"/>
      <c r="V414" s="948">
        <v>194.10772727272726</v>
      </c>
      <c r="W414" s="946">
        <v>4270.37</v>
      </c>
      <c r="X414" s="947"/>
      <c r="Y414" s="948">
        <v>200.09136363636364</v>
      </c>
      <c r="Z414" s="946">
        <v>4402.01</v>
      </c>
      <c r="AA414" s="947"/>
      <c r="AB414" s="948">
        <v>310.44600000000003</v>
      </c>
      <c r="AC414" s="946">
        <v>6208.92</v>
      </c>
      <c r="AD414" s="947"/>
      <c r="AE414" s="948">
        <v>173.77344827586208</v>
      </c>
      <c r="AF414" s="946">
        <v>5039.43</v>
      </c>
      <c r="AG414" s="947"/>
      <c r="AH414" s="948">
        <v>157.53333333333333</v>
      </c>
      <c r="AI414" s="946">
        <v>4253.3999999999996</v>
      </c>
      <c r="AJ414" s="947"/>
      <c r="AK414" s="948">
        <v>111.532</v>
      </c>
      <c r="AL414" s="946">
        <v>3903.62</v>
      </c>
      <c r="AM414" s="947"/>
      <c r="AN414" s="948">
        <v>132.11916666666664</v>
      </c>
      <c r="AO414" s="946">
        <v>3170.8599999999997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73.115456674473066</v>
      </c>
      <c r="E415" s="946">
        <v>31220.3</v>
      </c>
      <c r="F415" s="947"/>
      <c r="G415" s="948">
        <v>273.33666666666664</v>
      </c>
      <c r="H415" s="946">
        <v>2460.0299999999997</v>
      </c>
      <c r="I415" s="947"/>
      <c r="J415" s="948">
        <v>458.1528571428571</v>
      </c>
      <c r="K415" s="946">
        <v>3207.0699999999997</v>
      </c>
      <c r="L415" s="947"/>
      <c r="M415" s="948">
        <v>28.584761904761905</v>
      </c>
      <c r="N415" s="946">
        <v>600.28</v>
      </c>
      <c r="O415" s="947"/>
      <c r="P415" s="948">
        <v>36.250270270270271</v>
      </c>
      <c r="Q415" s="946">
        <v>1341.26</v>
      </c>
      <c r="R415" s="947"/>
      <c r="S415" s="948">
        <v>99.035384615384615</v>
      </c>
      <c r="T415" s="946">
        <v>3862.38</v>
      </c>
      <c r="U415" s="947"/>
      <c r="V415" s="948">
        <v>123.78409090909091</v>
      </c>
      <c r="W415" s="946">
        <v>2723.25</v>
      </c>
      <c r="X415" s="947"/>
      <c r="Y415" s="948">
        <v>72.733181818181819</v>
      </c>
      <c r="Z415" s="946">
        <v>1600.13</v>
      </c>
      <c r="AA415" s="947"/>
      <c r="AB415" s="948">
        <v>125.9455</v>
      </c>
      <c r="AC415" s="946">
        <v>2518.91</v>
      </c>
      <c r="AD415" s="947"/>
      <c r="AE415" s="948">
        <v>144.49793103448278</v>
      </c>
      <c r="AF415" s="946">
        <v>4190.4400000000005</v>
      </c>
      <c r="AG415" s="947"/>
      <c r="AH415" s="948">
        <v>70.238888888888894</v>
      </c>
      <c r="AI415" s="946">
        <v>1896.45</v>
      </c>
      <c r="AJ415" s="947"/>
      <c r="AK415" s="948">
        <v>111.504</v>
      </c>
      <c r="AL415" s="946">
        <v>3902.6400000000003</v>
      </c>
      <c r="AM415" s="947"/>
      <c r="AN415" s="948">
        <v>121.56083333333333</v>
      </c>
      <c r="AO415" s="946">
        <v>2917.46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90.469906323185</v>
      </c>
      <c r="E416" s="940">
        <v>38630.649999999994</v>
      </c>
      <c r="F416" s="949"/>
      <c r="G416" s="950">
        <v>286.01444444444445</v>
      </c>
      <c r="H416" s="940">
        <v>2574.13</v>
      </c>
      <c r="I416" s="949"/>
      <c r="J416" s="950">
        <v>445.43285714285719</v>
      </c>
      <c r="K416" s="940">
        <v>3118.03</v>
      </c>
      <c r="L416" s="949"/>
      <c r="M416" s="950">
        <v>108.49666666666668</v>
      </c>
      <c r="N416" s="940">
        <v>2278.4300000000003</v>
      </c>
      <c r="O416" s="949"/>
      <c r="P416" s="950">
        <v>99.763513513513516</v>
      </c>
      <c r="Q416" s="940">
        <v>3691.25</v>
      </c>
      <c r="R416" s="949"/>
      <c r="S416" s="950">
        <v>81.764615384615382</v>
      </c>
      <c r="T416" s="940">
        <v>3188.82</v>
      </c>
      <c r="U416" s="949"/>
      <c r="V416" s="950">
        <v>114.22954545454546</v>
      </c>
      <c r="W416" s="940">
        <v>2513.0500000000002</v>
      </c>
      <c r="X416" s="949"/>
      <c r="Y416" s="950">
        <v>110.74181818181818</v>
      </c>
      <c r="Z416" s="940">
        <v>2436.3199999999997</v>
      </c>
      <c r="AA416" s="949"/>
      <c r="AB416" s="950">
        <v>173.67849999999999</v>
      </c>
      <c r="AC416" s="940">
        <v>3473.5699999999997</v>
      </c>
      <c r="AD416" s="949"/>
      <c r="AE416" s="950">
        <v>126.41793103448275</v>
      </c>
      <c r="AF416" s="940">
        <v>3666.12</v>
      </c>
      <c r="AG416" s="949"/>
      <c r="AH416" s="950">
        <v>132.93851851851852</v>
      </c>
      <c r="AI416" s="940">
        <v>3589.34</v>
      </c>
      <c r="AJ416" s="949"/>
      <c r="AK416" s="950">
        <v>122.64285714285714</v>
      </c>
      <c r="AL416" s="940">
        <v>4292.5</v>
      </c>
      <c r="AM416" s="949"/>
      <c r="AN416" s="950">
        <v>158.71208333333334</v>
      </c>
      <c r="AO416" s="940">
        <v>3809.09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580.55817330210743</v>
      </c>
      <c r="E417" s="946">
        <v>247898.33999999985</v>
      </c>
      <c r="F417" s="947"/>
      <c r="G417" s="948">
        <v>1137.538888888889</v>
      </c>
      <c r="H417" s="946">
        <v>10237.85</v>
      </c>
      <c r="I417" s="947"/>
      <c r="J417" s="948">
        <v>2468.7771428571427</v>
      </c>
      <c r="K417" s="946">
        <v>17281.439999999999</v>
      </c>
      <c r="L417" s="947"/>
      <c r="M417" s="948">
        <v>993.30285714285719</v>
      </c>
      <c r="N417" s="946">
        <v>20859.36</v>
      </c>
      <c r="O417" s="947"/>
      <c r="P417" s="948">
        <v>574.88378378378366</v>
      </c>
      <c r="Q417" s="946">
        <v>21270.699999999997</v>
      </c>
      <c r="R417" s="947"/>
      <c r="S417" s="948">
        <v>567.58128205128196</v>
      </c>
      <c r="T417" s="946">
        <v>22135.67</v>
      </c>
      <c r="U417" s="947"/>
      <c r="V417" s="948">
        <v>719.5181818181818</v>
      </c>
      <c r="W417" s="946">
        <v>15829.4</v>
      </c>
      <c r="X417" s="947"/>
      <c r="Y417" s="948">
        <v>722.46363636363628</v>
      </c>
      <c r="Z417" s="946">
        <v>15894.199999999999</v>
      </c>
      <c r="AA417" s="947"/>
      <c r="AB417" s="948">
        <v>939.63949999999954</v>
      </c>
      <c r="AC417" s="946">
        <v>18792.78999999999</v>
      </c>
      <c r="AD417" s="947"/>
      <c r="AE417" s="948">
        <v>947.21896551724149</v>
      </c>
      <c r="AF417" s="946">
        <v>27469.350000000002</v>
      </c>
      <c r="AG417" s="947"/>
      <c r="AH417" s="948">
        <v>1150.0577777777778</v>
      </c>
      <c r="AI417" s="946">
        <v>31051.559999999998</v>
      </c>
      <c r="AJ417" s="947"/>
      <c r="AK417" s="948">
        <v>558.37571428571118</v>
      </c>
      <c r="AL417" s="946">
        <v>19543.149999999892</v>
      </c>
      <c r="AM417" s="947"/>
      <c r="AN417" s="948">
        <v>1147.2029166666669</v>
      </c>
      <c r="AO417" s="946">
        <v>27532.870000000003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1050.7263466042155</v>
      </c>
      <c r="E418" s="946">
        <v>448660.15</v>
      </c>
      <c r="F418" s="947"/>
      <c r="G418" s="948"/>
      <c r="H418" s="946">
        <v>35499.47</v>
      </c>
      <c r="I418" s="947"/>
      <c r="J418" s="948"/>
      <c r="K418" s="946">
        <v>37761.369999999995</v>
      </c>
      <c r="L418" s="947"/>
      <c r="M418" s="948"/>
      <c r="N418" s="946">
        <v>46196.55</v>
      </c>
      <c r="O418" s="947"/>
      <c r="P418" s="948"/>
      <c r="Q418" s="946">
        <v>44625.990000000005</v>
      </c>
      <c r="R418" s="947"/>
      <c r="S418" s="948"/>
      <c r="T418" s="946">
        <v>44371.22</v>
      </c>
      <c r="U418" s="947"/>
      <c r="V418" s="948"/>
      <c r="W418" s="946">
        <v>40488.15</v>
      </c>
      <c r="X418" s="947"/>
      <c r="Y418" s="948"/>
      <c r="Z418" s="946">
        <v>40368.25</v>
      </c>
      <c r="AA418" s="947"/>
      <c r="AB418" s="948"/>
      <c r="AC418" s="946">
        <v>40444.959999999999</v>
      </c>
      <c r="AD418" s="947"/>
      <c r="AE418" s="948"/>
      <c r="AF418" s="946">
        <v>25650.799999999999</v>
      </c>
      <c r="AG418" s="947"/>
      <c r="AH418" s="948"/>
      <c r="AI418" s="946">
        <v>23342.71</v>
      </c>
      <c r="AJ418" s="947"/>
      <c r="AK418" s="948"/>
      <c r="AL418" s="946">
        <v>38434.049999999996</v>
      </c>
      <c r="AM418" s="947"/>
      <c r="AN418" s="948"/>
      <c r="AO418" s="946">
        <v>31476.63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/>
      <c r="B419" s="647"/>
      <c r="C419" s="947"/>
      <c r="D419" s="948"/>
      <c r="E419" s="946"/>
      <c r="F419" s="947"/>
      <c r="G419" s="948"/>
      <c r="H419" s="946"/>
      <c r="I419" s="947"/>
      <c r="J419" s="948"/>
      <c r="K419" s="946"/>
      <c r="L419" s="947"/>
      <c r="M419" s="948"/>
      <c r="N419" s="946"/>
      <c r="O419" s="947"/>
      <c r="P419" s="948"/>
      <c r="Q419" s="946"/>
      <c r="R419" s="947"/>
      <c r="S419" s="948"/>
      <c r="T419" s="946"/>
      <c r="U419" s="947"/>
      <c r="V419" s="948"/>
      <c r="W419" s="946"/>
      <c r="X419" s="947"/>
      <c r="Y419" s="948"/>
      <c r="Z419" s="946"/>
      <c r="AA419" s="947"/>
      <c r="AB419" s="948"/>
      <c r="AC419" s="946"/>
      <c r="AD419" s="947"/>
      <c r="AE419" s="948"/>
      <c r="AF419" s="946"/>
      <c r="AG419" s="947"/>
      <c r="AH419" s="948"/>
      <c r="AI419" s="946"/>
      <c r="AJ419" s="947"/>
      <c r="AK419" s="948"/>
      <c r="AL419" s="946"/>
      <c r="AM419" s="947"/>
      <c r="AN419" s="948"/>
      <c r="AO419" s="946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/>
      <c r="B420" s="647"/>
      <c r="C420" s="947"/>
      <c r="D420" s="948"/>
      <c r="E420" s="946"/>
      <c r="F420" s="947"/>
      <c r="G420" s="948"/>
      <c r="H420" s="946"/>
      <c r="I420" s="947"/>
      <c r="J420" s="948"/>
      <c r="K420" s="946"/>
      <c r="L420" s="947"/>
      <c r="M420" s="948"/>
      <c r="N420" s="946"/>
      <c r="O420" s="947"/>
      <c r="P420" s="948"/>
      <c r="Q420" s="946"/>
      <c r="R420" s="947"/>
      <c r="S420" s="948"/>
      <c r="T420" s="946"/>
      <c r="U420" s="947"/>
      <c r="V420" s="948"/>
      <c r="W420" s="946"/>
      <c r="X420" s="947"/>
      <c r="Y420" s="948"/>
      <c r="Z420" s="946"/>
      <c r="AA420" s="947"/>
      <c r="AB420" s="948"/>
      <c r="AC420" s="946"/>
      <c r="AD420" s="947"/>
      <c r="AE420" s="948"/>
      <c r="AF420" s="946"/>
      <c r="AG420" s="947"/>
      <c r="AH420" s="948"/>
      <c r="AI420" s="946"/>
      <c r="AJ420" s="947"/>
      <c r="AK420" s="948"/>
      <c r="AL420" s="946"/>
      <c r="AM420" s="947"/>
      <c r="AN420" s="948"/>
      <c r="AO420" s="946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/>
      <c r="B421" s="642"/>
      <c r="C421" s="947"/>
      <c r="D421" s="948"/>
      <c r="E421" s="946"/>
      <c r="F421" s="947"/>
      <c r="G421" s="948"/>
      <c r="H421" s="946"/>
      <c r="I421" s="947"/>
      <c r="J421" s="948"/>
      <c r="K421" s="946"/>
      <c r="L421" s="947"/>
      <c r="M421" s="948"/>
      <c r="N421" s="946"/>
      <c r="O421" s="947"/>
      <c r="P421" s="948"/>
      <c r="Q421" s="946"/>
      <c r="R421" s="947"/>
      <c r="S421" s="948"/>
      <c r="T421" s="946"/>
      <c r="U421" s="947"/>
      <c r="V421" s="948"/>
      <c r="W421" s="946"/>
      <c r="X421" s="947"/>
      <c r="Y421" s="948"/>
      <c r="Z421" s="946"/>
      <c r="AA421" s="947"/>
      <c r="AB421" s="948"/>
      <c r="AC421" s="946"/>
      <c r="AD421" s="947"/>
      <c r="AE421" s="948"/>
      <c r="AF421" s="946"/>
      <c r="AG421" s="947"/>
      <c r="AH421" s="948"/>
      <c r="AI421" s="946"/>
      <c r="AJ421" s="947"/>
      <c r="AK421" s="948"/>
      <c r="AL421" s="946"/>
      <c r="AM421" s="947"/>
      <c r="AN421" s="948"/>
      <c r="AO421" s="946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0.33956847264229084</v>
      </c>
      <c r="D422" s="952">
        <v>3506.0059524810345</v>
      </c>
      <c r="E422" s="953">
        <v>1538193.9299999997</v>
      </c>
      <c r="F422" s="951"/>
      <c r="G422" s="952"/>
      <c r="H422" s="953">
        <v>90626.89</v>
      </c>
      <c r="I422" s="951"/>
      <c r="J422" s="952"/>
      <c r="K422" s="953">
        <v>99000.669999999896</v>
      </c>
      <c r="L422" s="951"/>
      <c r="M422" s="952"/>
      <c r="N422" s="953">
        <v>131481.51999999999</v>
      </c>
      <c r="O422" s="951"/>
      <c r="P422" s="952"/>
      <c r="Q422" s="953">
        <v>163055.34999999899</v>
      </c>
      <c r="R422" s="951"/>
      <c r="S422" s="952"/>
      <c r="T422" s="953">
        <v>183691.63</v>
      </c>
      <c r="U422" s="951"/>
      <c r="V422" s="952"/>
      <c r="W422" s="953">
        <v>113226.57</v>
      </c>
      <c r="X422" s="951"/>
      <c r="Y422" s="952"/>
      <c r="Z422" s="953">
        <v>110088.87</v>
      </c>
      <c r="AA422" s="951"/>
      <c r="AB422" s="952"/>
      <c r="AC422" s="953">
        <v>106801.139999999</v>
      </c>
      <c r="AD422" s="951"/>
      <c r="AE422" s="952"/>
      <c r="AF422" s="953">
        <v>134147.04999999999</v>
      </c>
      <c r="AG422" s="951"/>
      <c r="AH422" s="952"/>
      <c r="AI422" s="953">
        <v>117703.48</v>
      </c>
      <c r="AJ422" s="951"/>
      <c r="AK422" s="952"/>
      <c r="AL422" s="953">
        <v>154604.43</v>
      </c>
      <c r="AM422" s="951"/>
      <c r="AN422" s="952"/>
      <c r="AO422" s="953">
        <v>133766.32999999999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163569.72999999989</v>
      </c>
      <c r="F423" s="947"/>
      <c r="G423" s="948"/>
      <c r="H423" s="954">
        <v>11910.18</v>
      </c>
      <c r="I423" s="947"/>
      <c r="J423" s="948"/>
      <c r="K423" s="954">
        <v>13337.07</v>
      </c>
      <c r="L423" s="947"/>
      <c r="M423" s="948"/>
      <c r="N423" s="954">
        <v>15032.66</v>
      </c>
      <c r="O423" s="947"/>
      <c r="P423" s="948"/>
      <c r="Q423" s="954">
        <v>11680.48</v>
      </c>
      <c r="R423" s="947"/>
      <c r="S423" s="948"/>
      <c r="T423" s="954">
        <v>13896.78</v>
      </c>
      <c r="U423" s="947"/>
      <c r="V423" s="948"/>
      <c r="W423" s="954">
        <v>12851.1699999999</v>
      </c>
      <c r="X423" s="947"/>
      <c r="Y423" s="948"/>
      <c r="Z423" s="954">
        <v>12345.1</v>
      </c>
      <c r="AA423" s="947"/>
      <c r="AB423" s="948"/>
      <c r="AC423" s="954">
        <v>12801.15</v>
      </c>
      <c r="AD423" s="947"/>
      <c r="AE423" s="948"/>
      <c r="AF423" s="954">
        <v>14636.45</v>
      </c>
      <c r="AG423" s="947"/>
      <c r="AH423" s="948"/>
      <c r="AI423" s="954">
        <v>15620.88</v>
      </c>
      <c r="AJ423" s="947"/>
      <c r="AK423" s="948"/>
      <c r="AL423" s="954">
        <v>13343.38</v>
      </c>
      <c r="AM423" s="947"/>
      <c r="AN423" s="948"/>
      <c r="AO423" s="954">
        <v>16114.43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343977.00999999966</v>
      </c>
      <c r="F424" s="947"/>
      <c r="G424" s="948"/>
      <c r="H424" s="946">
        <v>31838.609999999899</v>
      </c>
      <c r="I424" s="947"/>
      <c r="J424" s="948"/>
      <c r="K424" s="946">
        <v>27945.48</v>
      </c>
      <c r="L424" s="947"/>
      <c r="M424" s="948"/>
      <c r="N424" s="946">
        <v>26681.599999999999</v>
      </c>
      <c r="O424" s="947"/>
      <c r="P424" s="948"/>
      <c r="Q424" s="946">
        <v>28590.78</v>
      </c>
      <c r="R424" s="947"/>
      <c r="S424" s="948"/>
      <c r="T424" s="946">
        <v>31911.299999999901</v>
      </c>
      <c r="U424" s="947"/>
      <c r="V424" s="948"/>
      <c r="W424" s="946">
        <v>22412</v>
      </c>
      <c r="X424" s="947"/>
      <c r="Y424" s="948"/>
      <c r="Z424" s="946">
        <v>27632.93</v>
      </c>
      <c r="AA424" s="947"/>
      <c r="AB424" s="948"/>
      <c r="AC424" s="946">
        <v>23556.38</v>
      </c>
      <c r="AD424" s="947"/>
      <c r="AE424" s="948"/>
      <c r="AF424" s="946">
        <v>30046.699999999899</v>
      </c>
      <c r="AG424" s="947"/>
      <c r="AH424" s="948"/>
      <c r="AI424" s="946">
        <v>34750.01</v>
      </c>
      <c r="AJ424" s="947"/>
      <c r="AK424" s="948"/>
      <c r="AL424" s="946">
        <v>32577.439999999999</v>
      </c>
      <c r="AM424" s="947"/>
      <c r="AN424" s="948"/>
      <c r="AO424" s="946">
        <v>26033.78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240350.94999999992</v>
      </c>
      <c r="F425" s="949"/>
      <c r="G425" s="950"/>
      <c r="H425" s="940">
        <v>17239.060000000001</v>
      </c>
      <c r="I425" s="949"/>
      <c r="J425" s="950"/>
      <c r="K425" s="940">
        <v>19470.84</v>
      </c>
      <c r="L425" s="949"/>
      <c r="M425" s="950"/>
      <c r="N425" s="940">
        <v>18962.4899999999</v>
      </c>
      <c r="O425" s="949"/>
      <c r="P425" s="950"/>
      <c r="Q425" s="940">
        <v>17983.900000000001</v>
      </c>
      <c r="R425" s="949"/>
      <c r="S425" s="950"/>
      <c r="T425" s="940">
        <v>22622.29</v>
      </c>
      <c r="U425" s="949"/>
      <c r="V425" s="950"/>
      <c r="W425" s="940">
        <v>19079.099999999999</v>
      </c>
      <c r="X425" s="949"/>
      <c r="Y425" s="950"/>
      <c r="Z425" s="940">
        <v>18203.150000000001</v>
      </c>
      <c r="AA425" s="949"/>
      <c r="AB425" s="950"/>
      <c r="AC425" s="940">
        <v>19209.16</v>
      </c>
      <c r="AD425" s="949"/>
      <c r="AE425" s="950"/>
      <c r="AF425" s="940">
        <v>19700.759999999998</v>
      </c>
      <c r="AG425" s="949"/>
      <c r="AH425" s="950"/>
      <c r="AI425" s="940">
        <v>21192.29</v>
      </c>
      <c r="AJ425" s="949"/>
      <c r="AK425" s="950"/>
      <c r="AL425" s="940">
        <v>23025.23</v>
      </c>
      <c r="AM425" s="949"/>
      <c r="AN425" s="950"/>
      <c r="AO425" s="940">
        <v>23662.68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259918.56999999977</v>
      </c>
      <c r="F426" s="947"/>
      <c r="G426" s="948"/>
      <c r="H426" s="946">
        <v>20379.11</v>
      </c>
      <c r="I426" s="947"/>
      <c r="J426" s="948"/>
      <c r="K426" s="946">
        <v>17313.4899999999</v>
      </c>
      <c r="L426" s="947"/>
      <c r="M426" s="948"/>
      <c r="N426" s="946">
        <v>19911.830000000002</v>
      </c>
      <c r="O426" s="947"/>
      <c r="P426" s="948"/>
      <c r="Q426" s="946">
        <v>26589.9899999999</v>
      </c>
      <c r="R426" s="947"/>
      <c r="S426" s="948"/>
      <c r="T426" s="946">
        <v>23657.65</v>
      </c>
      <c r="U426" s="947"/>
      <c r="V426" s="948"/>
      <c r="W426" s="946">
        <v>17673.84</v>
      </c>
      <c r="X426" s="947"/>
      <c r="Y426" s="948"/>
      <c r="Z426" s="946">
        <v>19488.43</v>
      </c>
      <c r="AA426" s="947"/>
      <c r="AB426" s="948"/>
      <c r="AC426" s="946">
        <v>13289.3</v>
      </c>
      <c r="AD426" s="947"/>
      <c r="AE426" s="948"/>
      <c r="AF426" s="946">
        <v>23145.03</v>
      </c>
      <c r="AG426" s="947"/>
      <c r="AH426" s="948"/>
      <c r="AI426" s="946">
        <v>28028.15</v>
      </c>
      <c r="AJ426" s="947"/>
      <c r="AK426" s="948"/>
      <c r="AL426" s="946">
        <v>29715.16</v>
      </c>
      <c r="AM426" s="947"/>
      <c r="AN426" s="948"/>
      <c r="AO426" s="946">
        <v>20726.59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145388.35999999999</v>
      </c>
      <c r="F427" s="947"/>
      <c r="G427" s="948"/>
      <c r="H427" s="946">
        <v>5820.12</v>
      </c>
      <c r="I427" s="947"/>
      <c r="J427" s="948"/>
      <c r="K427" s="946">
        <v>7346.36</v>
      </c>
      <c r="L427" s="947"/>
      <c r="M427" s="948"/>
      <c r="N427" s="946">
        <v>7315.36</v>
      </c>
      <c r="O427" s="947"/>
      <c r="P427" s="948"/>
      <c r="Q427" s="946">
        <v>12116.41</v>
      </c>
      <c r="R427" s="947"/>
      <c r="S427" s="948"/>
      <c r="T427" s="946">
        <v>17092.900000000001</v>
      </c>
      <c r="U427" s="947"/>
      <c r="V427" s="948"/>
      <c r="W427" s="946">
        <v>14791.16</v>
      </c>
      <c r="X427" s="947"/>
      <c r="Y427" s="948"/>
      <c r="Z427" s="946">
        <v>11978.69</v>
      </c>
      <c r="AA427" s="947"/>
      <c r="AB427" s="948"/>
      <c r="AC427" s="946">
        <v>8653.68</v>
      </c>
      <c r="AD427" s="947"/>
      <c r="AE427" s="948"/>
      <c r="AF427" s="946">
        <v>12462.65</v>
      </c>
      <c r="AG427" s="947"/>
      <c r="AH427" s="948"/>
      <c r="AI427" s="946">
        <v>15814.28</v>
      </c>
      <c r="AJ427" s="947"/>
      <c r="AK427" s="948"/>
      <c r="AL427" s="946">
        <v>15341.02</v>
      </c>
      <c r="AM427" s="947"/>
      <c r="AN427" s="948"/>
      <c r="AO427" s="946">
        <v>16655.73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>
        <v>0</v>
      </c>
      <c r="H430" s="946">
        <v>0</v>
      </c>
      <c r="I430" s="947"/>
      <c r="J430" s="948">
        <v>0</v>
      </c>
      <c r="K430" s="946">
        <v>0</v>
      </c>
      <c r="L430" s="947"/>
      <c r="M430" s="948">
        <v>0</v>
      </c>
      <c r="N430" s="946">
        <v>0</v>
      </c>
      <c r="O430" s="947"/>
      <c r="P430" s="948">
        <v>0</v>
      </c>
      <c r="Q430" s="946">
        <v>0</v>
      </c>
      <c r="R430" s="947"/>
      <c r="S430" s="948">
        <v>0</v>
      </c>
      <c r="T430" s="946">
        <v>0</v>
      </c>
      <c r="U430" s="947"/>
      <c r="V430" s="948">
        <v>0</v>
      </c>
      <c r="W430" s="946">
        <v>0</v>
      </c>
      <c r="X430" s="947"/>
      <c r="Y430" s="948">
        <v>0</v>
      </c>
      <c r="Z430" s="946">
        <v>0</v>
      </c>
      <c r="AA430" s="947"/>
      <c r="AB430" s="948">
        <v>0</v>
      </c>
      <c r="AC430" s="946">
        <v>0</v>
      </c>
      <c r="AD430" s="947"/>
      <c r="AE430" s="948">
        <v>0</v>
      </c>
      <c r="AF430" s="946">
        <v>0</v>
      </c>
      <c r="AG430" s="947"/>
      <c r="AH430" s="948">
        <v>0</v>
      </c>
      <c r="AI430" s="946">
        <v>0</v>
      </c>
      <c r="AJ430" s="947"/>
      <c r="AK430" s="948">
        <v>0</v>
      </c>
      <c r="AL430" s="946">
        <v>0</v>
      </c>
      <c r="AM430" s="947"/>
      <c r="AN430" s="948">
        <v>0</v>
      </c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0.11086812936345307</v>
      </c>
      <c r="E431" s="940">
        <v>274069.66999999981</v>
      </c>
      <c r="F431" s="949"/>
      <c r="G431" s="955">
        <v>0.1464602050087771</v>
      </c>
      <c r="H431" s="940">
        <v>28797.13</v>
      </c>
      <c r="I431" s="949"/>
      <c r="J431" s="955">
        <v>0.14583281828782405</v>
      </c>
      <c r="K431" s="940">
        <v>28314.55</v>
      </c>
      <c r="L431" s="949"/>
      <c r="M431" s="955">
        <v>7.0670533095107513E-2</v>
      </c>
      <c r="N431" s="940">
        <v>17637.04</v>
      </c>
      <c r="O431" s="949"/>
      <c r="P431" s="955">
        <v>3.8571790928632291E-2</v>
      </c>
      <c r="Q431" s="940">
        <v>11741.09</v>
      </c>
      <c r="R431" s="949"/>
      <c r="S431" s="955">
        <v>7.9723278882858573E-2</v>
      </c>
      <c r="T431" s="940">
        <v>27309.78</v>
      </c>
      <c r="U431" s="949"/>
      <c r="V431" s="955">
        <v>0.11281805750425389</v>
      </c>
      <c r="W431" s="940">
        <v>24395.11</v>
      </c>
      <c r="X431" s="949"/>
      <c r="Y431" s="955">
        <v>9.0608952330017631E-2</v>
      </c>
      <c r="Z431" s="940">
        <v>19679.96</v>
      </c>
      <c r="AA431" s="949"/>
      <c r="AB431" s="955">
        <v>8.268367171294129E-2</v>
      </c>
      <c r="AC431" s="940">
        <v>16500.059999999899</v>
      </c>
      <c r="AD431" s="949"/>
      <c r="AE431" s="955">
        <v>7.478346487440353E-2</v>
      </c>
      <c r="AF431" s="940">
        <v>19869.23</v>
      </c>
      <c r="AG431" s="949"/>
      <c r="AH431" s="955">
        <v>8.1955954145090631E-2</v>
      </c>
      <c r="AI431" s="940">
        <v>21094.0799999999</v>
      </c>
      <c r="AJ431" s="949"/>
      <c r="AK431" s="955">
        <v>5.8582358317188603E-2</v>
      </c>
      <c r="AL431" s="940">
        <v>17886.45</v>
      </c>
      <c r="AM431" s="949"/>
      <c r="AN431" s="955">
        <v>0.15308905438779602</v>
      </c>
      <c r="AO431" s="940">
        <v>40845.19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0.1241360349823166</v>
      </c>
      <c r="E432" s="946">
        <v>306868.36999999965</v>
      </c>
      <c r="F432" s="947"/>
      <c r="G432" s="956">
        <v>0.13935760119031126</v>
      </c>
      <c r="H432" s="946">
        <v>27400.61</v>
      </c>
      <c r="I432" s="947"/>
      <c r="J432" s="956">
        <v>0.12626567283485182</v>
      </c>
      <c r="K432" s="946">
        <v>24515.439999999999</v>
      </c>
      <c r="L432" s="947"/>
      <c r="M432" s="956">
        <v>0.10199228984910273</v>
      </c>
      <c r="N432" s="946">
        <v>25453.919999999998</v>
      </c>
      <c r="O432" s="947"/>
      <c r="P432" s="956">
        <v>9.5701658403466325E-2</v>
      </c>
      <c r="Q432" s="946">
        <v>29131.18</v>
      </c>
      <c r="R432" s="947"/>
      <c r="S432" s="956">
        <v>0.10416848388163864</v>
      </c>
      <c r="T432" s="946">
        <v>35683.659999999902</v>
      </c>
      <c r="U432" s="947"/>
      <c r="V432" s="956">
        <v>0.11572088378849056</v>
      </c>
      <c r="W432" s="946">
        <v>25022.799999999999</v>
      </c>
      <c r="X432" s="947"/>
      <c r="Y432" s="956">
        <v>0.11482336927495748</v>
      </c>
      <c r="Z432" s="946">
        <v>24939.25</v>
      </c>
      <c r="AA432" s="947"/>
      <c r="AB432" s="956">
        <v>0.10799119747820785</v>
      </c>
      <c r="AC432" s="946">
        <v>21550.34</v>
      </c>
      <c r="AD432" s="947"/>
      <c r="AE432" s="956">
        <v>7.5141061872259496E-2</v>
      </c>
      <c r="AF432" s="946">
        <v>19964.2399999999</v>
      </c>
      <c r="AG432" s="947"/>
      <c r="AH432" s="956">
        <v>9.7534364431732565E-2</v>
      </c>
      <c r="AI432" s="946">
        <v>25103.7</v>
      </c>
      <c r="AJ432" s="947"/>
      <c r="AK432" s="956">
        <v>7.5043599951578888E-2</v>
      </c>
      <c r="AL432" s="946">
        <v>22912.42</v>
      </c>
      <c r="AM432" s="947"/>
      <c r="AN432" s="956">
        <v>9.441594670419258E-2</v>
      </c>
      <c r="AO432" s="946">
        <v>25190.809999999899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6.1385128133566599E-2</v>
      </c>
      <c r="E433" s="946">
        <v>151746.05999999991</v>
      </c>
      <c r="F433" s="947"/>
      <c r="G433" s="956">
        <v>6.3185313256452727E-2</v>
      </c>
      <c r="H433" s="946">
        <v>12423.55</v>
      </c>
      <c r="I433" s="947"/>
      <c r="J433" s="956">
        <v>7.17724158106611E-2</v>
      </c>
      <c r="K433" s="946">
        <v>13935.16</v>
      </c>
      <c r="L433" s="947"/>
      <c r="M433" s="956">
        <v>4.5467771993984399E-2</v>
      </c>
      <c r="N433" s="946">
        <v>11347.2599999999</v>
      </c>
      <c r="O433" s="947"/>
      <c r="P433" s="956">
        <v>4.0242576301241124E-2</v>
      </c>
      <c r="Q433" s="946">
        <v>12249.67</v>
      </c>
      <c r="R433" s="947"/>
      <c r="S433" s="956">
        <v>4.1441784489338961E-2</v>
      </c>
      <c r="T433" s="946">
        <v>14196.18</v>
      </c>
      <c r="U433" s="947"/>
      <c r="V433" s="956">
        <v>5.1468156570501924E-2</v>
      </c>
      <c r="W433" s="946">
        <v>11129.17</v>
      </c>
      <c r="X433" s="947"/>
      <c r="Y433" s="956">
        <v>6.0178969619419528E-2</v>
      </c>
      <c r="Z433" s="946">
        <v>13070.67</v>
      </c>
      <c r="AA433" s="947"/>
      <c r="AB433" s="956">
        <v>6.7553867589847716E-2</v>
      </c>
      <c r="AC433" s="946">
        <v>13480.81</v>
      </c>
      <c r="AD433" s="947"/>
      <c r="AE433" s="956">
        <v>4.383865943091983E-2</v>
      </c>
      <c r="AF433" s="946">
        <v>11647.5</v>
      </c>
      <c r="AG433" s="947"/>
      <c r="AH433" s="956">
        <v>5.8698680057236073E-2</v>
      </c>
      <c r="AI433" s="946">
        <v>15108.05</v>
      </c>
      <c r="AJ433" s="947"/>
      <c r="AK433" s="956">
        <v>2.6101802742709453E-2</v>
      </c>
      <c r="AL433" s="946">
        <v>7969.44</v>
      </c>
      <c r="AM433" s="947"/>
      <c r="AN433" s="956">
        <v>5.6927349621203341E-2</v>
      </c>
      <c r="AO433" s="946">
        <v>15188.6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1.2322991033258717E-2</v>
      </c>
      <c r="E434" s="946">
        <v>30462.840000000004</v>
      </c>
      <c r="F434" s="947"/>
      <c r="G434" s="956"/>
      <c r="H434" s="946">
        <v>2974.62</v>
      </c>
      <c r="I434" s="947"/>
      <c r="J434" s="956"/>
      <c r="K434" s="946">
        <v>4011.6000000000004</v>
      </c>
      <c r="L434" s="947"/>
      <c r="M434" s="956"/>
      <c r="N434" s="946">
        <v>2629.07</v>
      </c>
      <c r="O434" s="947"/>
      <c r="P434" s="956"/>
      <c r="Q434" s="946">
        <v>3503.11</v>
      </c>
      <c r="R434" s="947"/>
      <c r="S434" s="956"/>
      <c r="T434" s="946">
        <v>4332.22</v>
      </c>
      <c r="U434" s="947"/>
      <c r="V434" s="956"/>
      <c r="W434" s="946">
        <v>3259.18</v>
      </c>
      <c r="X434" s="947"/>
      <c r="Y434" s="956"/>
      <c r="Z434" s="946">
        <v>632.86</v>
      </c>
      <c r="AA434" s="947"/>
      <c r="AB434" s="956"/>
      <c r="AC434" s="946">
        <v>1883.07</v>
      </c>
      <c r="AD434" s="947"/>
      <c r="AE434" s="956"/>
      <c r="AF434" s="946">
        <v>1518.5500000000002</v>
      </c>
      <c r="AG434" s="947"/>
      <c r="AH434" s="956"/>
      <c r="AI434" s="946">
        <v>2123.2200000000003</v>
      </c>
      <c r="AJ434" s="947"/>
      <c r="AK434" s="956"/>
      <c r="AL434" s="946">
        <v>1966.2600000000002</v>
      </c>
      <c r="AM434" s="947"/>
      <c r="AN434" s="956"/>
      <c r="AO434" s="946">
        <v>1629.08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/>
      <c r="B435" s="647"/>
      <c r="C435" s="947"/>
      <c r="D435" s="948"/>
      <c r="E435" s="946"/>
      <c r="F435" s="947"/>
      <c r="G435" s="948"/>
      <c r="H435" s="946"/>
      <c r="I435" s="947"/>
      <c r="J435" s="948"/>
      <c r="K435" s="946"/>
      <c r="L435" s="947"/>
      <c r="M435" s="948"/>
      <c r="N435" s="946"/>
      <c r="O435" s="947"/>
      <c r="P435" s="948"/>
      <c r="Q435" s="946"/>
      <c r="R435" s="947"/>
      <c r="S435" s="948"/>
      <c r="T435" s="946"/>
      <c r="U435" s="947"/>
      <c r="V435" s="948"/>
      <c r="W435" s="946"/>
      <c r="X435" s="947"/>
      <c r="Y435" s="948"/>
      <c r="Z435" s="946"/>
      <c r="AA435" s="947"/>
      <c r="AB435" s="948"/>
      <c r="AC435" s="946"/>
      <c r="AD435" s="947"/>
      <c r="AE435" s="948"/>
      <c r="AF435" s="946"/>
      <c r="AG435" s="947"/>
      <c r="AH435" s="948"/>
      <c r="AI435" s="946"/>
      <c r="AJ435" s="947"/>
      <c r="AK435" s="948"/>
      <c r="AL435" s="946"/>
      <c r="AM435" s="947"/>
      <c r="AN435" s="948"/>
      <c r="AO435" s="946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0.4230497595806213</v>
      </c>
      <c r="D436" s="957"/>
      <c r="E436" s="953">
        <v>1916351.5599999987</v>
      </c>
      <c r="F436" s="951"/>
      <c r="G436" s="957"/>
      <c r="H436" s="953">
        <v>158782.99</v>
      </c>
      <c r="I436" s="951"/>
      <c r="J436" s="957"/>
      <c r="K436" s="953">
        <v>156189.99</v>
      </c>
      <c r="L436" s="951"/>
      <c r="M436" s="957"/>
      <c r="N436" s="953">
        <v>144971.23000000001</v>
      </c>
      <c r="O436" s="951"/>
      <c r="P436" s="957"/>
      <c r="Q436" s="953">
        <v>153586.60999999999</v>
      </c>
      <c r="R436" s="951"/>
      <c r="S436" s="957"/>
      <c r="T436" s="953">
        <v>190702.75999999899</v>
      </c>
      <c r="U436" s="951"/>
      <c r="V436" s="957"/>
      <c r="W436" s="953">
        <v>150613.53</v>
      </c>
      <c r="X436" s="951"/>
      <c r="Y436" s="957"/>
      <c r="Z436" s="953">
        <v>147971.04</v>
      </c>
      <c r="AA436" s="951"/>
      <c r="AB436" s="957"/>
      <c r="AC436" s="953">
        <v>130923.95</v>
      </c>
      <c r="AD436" s="951"/>
      <c r="AE436" s="957"/>
      <c r="AF436" s="953">
        <v>152991.109999999</v>
      </c>
      <c r="AG436" s="951"/>
      <c r="AH436" s="957"/>
      <c r="AI436" s="953">
        <v>178834.65999999901</v>
      </c>
      <c r="AJ436" s="951"/>
      <c r="AK436" s="957"/>
      <c r="AL436" s="953">
        <v>164736.79999999999</v>
      </c>
      <c r="AM436" s="951"/>
      <c r="AN436" s="957"/>
      <c r="AO436" s="953">
        <v>186046.89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115459.4999999999</v>
      </c>
      <c r="F437" s="958"/>
      <c r="G437" s="959"/>
      <c r="H437" s="960">
        <v>6382.8</v>
      </c>
      <c r="I437" s="958"/>
      <c r="J437" s="959"/>
      <c r="K437" s="960">
        <v>6668.68</v>
      </c>
      <c r="L437" s="958"/>
      <c r="M437" s="959"/>
      <c r="N437" s="960">
        <v>11955.02</v>
      </c>
      <c r="O437" s="958"/>
      <c r="P437" s="959"/>
      <c r="Q437" s="960">
        <v>10623.46</v>
      </c>
      <c r="R437" s="958"/>
      <c r="S437" s="959"/>
      <c r="T437" s="960">
        <v>10966.24</v>
      </c>
      <c r="U437" s="958"/>
      <c r="V437" s="959"/>
      <c r="W437" s="960">
        <v>6318.68</v>
      </c>
      <c r="X437" s="958"/>
      <c r="Y437" s="959"/>
      <c r="Z437" s="960">
        <v>7019.74</v>
      </c>
      <c r="AA437" s="958"/>
      <c r="AB437" s="959"/>
      <c r="AC437" s="960">
        <v>6174.53</v>
      </c>
      <c r="AD437" s="958"/>
      <c r="AE437" s="959"/>
      <c r="AF437" s="960">
        <v>11117.7</v>
      </c>
      <c r="AG437" s="958"/>
      <c r="AH437" s="959"/>
      <c r="AI437" s="960">
        <v>12733.5099999999</v>
      </c>
      <c r="AJ437" s="958"/>
      <c r="AK437" s="959"/>
      <c r="AL437" s="960">
        <v>15355.34</v>
      </c>
      <c r="AM437" s="958"/>
      <c r="AN437" s="959"/>
      <c r="AO437" s="960">
        <v>10143.799999999999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46504.559999999976</v>
      </c>
      <c r="F438" s="947"/>
      <c r="G438" s="948"/>
      <c r="H438" s="946">
        <v>2379.12</v>
      </c>
      <c r="I438" s="947"/>
      <c r="J438" s="948"/>
      <c r="K438" s="946">
        <v>2861.08</v>
      </c>
      <c r="L438" s="947"/>
      <c r="M438" s="948"/>
      <c r="N438" s="946">
        <v>3131.7599999999902</v>
      </c>
      <c r="O438" s="947"/>
      <c r="P438" s="948"/>
      <c r="Q438" s="946">
        <v>5426.1399999999903</v>
      </c>
      <c r="R438" s="947"/>
      <c r="S438" s="948"/>
      <c r="T438" s="946">
        <v>4484.1899999999996</v>
      </c>
      <c r="U438" s="947"/>
      <c r="V438" s="948"/>
      <c r="W438" s="946">
        <v>2759.69</v>
      </c>
      <c r="X438" s="947"/>
      <c r="Y438" s="948"/>
      <c r="Z438" s="946">
        <v>6141.16</v>
      </c>
      <c r="AA438" s="947"/>
      <c r="AB438" s="948"/>
      <c r="AC438" s="946">
        <v>1836.89</v>
      </c>
      <c r="AD438" s="947"/>
      <c r="AE438" s="948"/>
      <c r="AF438" s="946">
        <v>2311.79</v>
      </c>
      <c r="AG438" s="947"/>
      <c r="AH438" s="948"/>
      <c r="AI438" s="946">
        <v>4956.34</v>
      </c>
      <c r="AJ438" s="947"/>
      <c r="AK438" s="948"/>
      <c r="AL438" s="946">
        <v>4650.79</v>
      </c>
      <c r="AM438" s="947"/>
      <c r="AN438" s="948"/>
      <c r="AO438" s="946">
        <v>5565.61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219838.99999999988</v>
      </c>
      <c r="F439" s="949"/>
      <c r="G439" s="950"/>
      <c r="H439" s="940">
        <v>14044.68</v>
      </c>
      <c r="I439" s="949"/>
      <c r="J439" s="950"/>
      <c r="K439" s="940">
        <v>15498.95</v>
      </c>
      <c r="L439" s="949"/>
      <c r="M439" s="950"/>
      <c r="N439" s="940">
        <v>6129.51</v>
      </c>
      <c r="O439" s="949"/>
      <c r="P439" s="950"/>
      <c r="Q439" s="940">
        <v>15447.359999999901</v>
      </c>
      <c r="R439" s="949"/>
      <c r="S439" s="950"/>
      <c r="T439" s="940">
        <v>19639</v>
      </c>
      <c r="U439" s="949"/>
      <c r="V439" s="950"/>
      <c r="W439" s="940">
        <v>18839.7</v>
      </c>
      <c r="X439" s="949"/>
      <c r="Y439" s="950"/>
      <c r="Z439" s="940">
        <v>20582.55</v>
      </c>
      <c r="AA439" s="949"/>
      <c r="AB439" s="950"/>
      <c r="AC439" s="940">
        <v>19624.740000000002</v>
      </c>
      <c r="AD439" s="949"/>
      <c r="AE439" s="950"/>
      <c r="AF439" s="940">
        <v>18616.03</v>
      </c>
      <c r="AG439" s="949"/>
      <c r="AH439" s="950"/>
      <c r="AI439" s="940">
        <v>20128.419999999998</v>
      </c>
      <c r="AJ439" s="949"/>
      <c r="AK439" s="950"/>
      <c r="AL439" s="940">
        <v>26018.78</v>
      </c>
      <c r="AM439" s="949"/>
      <c r="AN439" s="950"/>
      <c r="AO439" s="940">
        <v>25269.279999999999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165556.24999999983</v>
      </c>
      <c r="F440" s="947"/>
      <c r="G440" s="948"/>
      <c r="H440" s="946">
        <v>14080.4</v>
      </c>
      <c r="I440" s="947"/>
      <c r="J440" s="948"/>
      <c r="K440" s="946">
        <v>12791.65</v>
      </c>
      <c r="L440" s="947"/>
      <c r="M440" s="948"/>
      <c r="N440" s="946">
        <v>12781.66</v>
      </c>
      <c r="O440" s="947"/>
      <c r="P440" s="948"/>
      <c r="Q440" s="946">
        <v>13374.96</v>
      </c>
      <c r="R440" s="947"/>
      <c r="S440" s="948"/>
      <c r="T440" s="946">
        <v>14599.039999999901</v>
      </c>
      <c r="U440" s="947"/>
      <c r="V440" s="948"/>
      <c r="W440" s="946">
        <v>13522.42</v>
      </c>
      <c r="X440" s="947"/>
      <c r="Y440" s="948"/>
      <c r="Z440" s="946">
        <v>13687.95</v>
      </c>
      <c r="AA440" s="947"/>
      <c r="AB440" s="948"/>
      <c r="AC440" s="946">
        <v>14485.61</v>
      </c>
      <c r="AD440" s="947"/>
      <c r="AE440" s="948"/>
      <c r="AF440" s="946">
        <v>13050.62</v>
      </c>
      <c r="AG440" s="947"/>
      <c r="AH440" s="948"/>
      <c r="AI440" s="946">
        <v>15192.3499999999</v>
      </c>
      <c r="AJ440" s="947"/>
      <c r="AK440" s="948"/>
      <c r="AL440" s="946">
        <v>13448.39</v>
      </c>
      <c r="AM440" s="947"/>
      <c r="AN440" s="948"/>
      <c r="AO440" s="946">
        <v>14541.2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27925.209999999966</v>
      </c>
      <c r="F441" s="947"/>
      <c r="G441" s="948"/>
      <c r="H441" s="946">
        <v>1358.06</v>
      </c>
      <c r="I441" s="947"/>
      <c r="J441" s="948"/>
      <c r="K441" s="946">
        <v>989.13</v>
      </c>
      <c r="L441" s="947"/>
      <c r="M441" s="948"/>
      <c r="N441" s="946">
        <v>6367.12</v>
      </c>
      <c r="O441" s="947"/>
      <c r="P441" s="948"/>
      <c r="Q441" s="946">
        <v>3458.79</v>
      </c>
      <c r="R441" s="947"/>
      <c r="S441" s="948"/>
      <c r="T441" s="946">
        <v>1871.72</v>
      </c>
      <c r="U441" s="947"/>
      <c r="V441" s="948"/>
      <c r="W441" s="946">
        <v>1949.3499999999899</v>
      </c>
      <c r="X441" s="947"/>
      <c r="Y441" s="948"/>
      <c r="Z441" s="946">
        <v>1863.3399999999899</v>
      </c>
      <c r="AA441" s="947"/>
      <c r="AB441" s="948"/>
      <c r="AC441" s="946">
        <v>2081.9699999999998</v>
      </c>
      <c r="AD441" s="947"/>
      <c r="AE441" s="948"/>
      <c r="AF441" s="946">
        <v>2000.99999999999</v>
      </c>
      <c r="AG441" s="947"/>
      <c r="AH441" s="948"/>
      <c r="AI441" s="946">
        <v>2158.02</v>
      </c>
      <c r="AJ441" s="947"/>
      <c r="AK441" s="948"/>
      <c r="AL441" s="946">
        <v>1920.14</v>
      </c>
      <c r="AM441" s="947"/>
      <c r="AN441" s="948"/>
      <c r="AO441" s="946">
        <v>1906.57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145609.50999999981</v>
      </c>
      <c r="F442" s="961"/>
      <c r="G442" s="962"/>
      <c r="H442" s="963">
        <v>10070.459999999999</v>
      </c>
      <c r="I442" s="961"/>
      <c r="J442" s="962"/>
      <c r="K442" s="963">
        <v>10700.779999999901</v>
      </c>
      <c r="L442" s="961"/>
      <c r="M442" s="962"/>
      <c r="N442" s="963">
        <v>11123.43</v>
      </c>
      <c r="O442" s="961"/>
      <c r="P442" s="962"/>
      <c r="Q442" s="963">
        <v>10883.84</v>
      </c>
      <c r="R442" s="961"/>
      <c r="S442" s="962"/>
      <c r="T442" s="963">
        <v>13586.82</v>
      </c>
      <c r="U442" s="961"/>
      <c r="V442" s="962"/>
      <c r="W442" s="963">
        <v>13832.08</v>
      </c>
      <c r="X442" s="961"/>
      <c r="Y442" s="962"/>
      <c r="Z442" s="963">
        <v>11549.84</v>
      </c>
      <c r="AA442" s="961"/>
      <c r="AB442" s="962"/>
      <c r="AC442" s="963">
        <v>11244.82</v>
      </c>
      <c r="AD442" s="961"/>
      <c r="AE442" s="962"/>
      <c r="AF442" s="963">
        <v>11035.69</v>
      </c>
      <c r="AG442" s="961"/>
      <c r="AH442" s="962"/>
      <c r="AI442" s="963">
        <v>14264.3999999999</v>
      </c>
      <c r="AJ442" s="961"/>
      <c r="AK442" s="962"/>
      <c r="AL442" s="963">
        <v>14739.76</v>
      </c>
      <c r="AM442" s="961"/>
      <c r="AN442" s="962"/>
      <c r="AO442" s="963">
        <v>12577.59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16064.719999999988</v>
      </c>
      <c r="F444" s="947"/>
      <c r="G444" s="964"/>
      <c r="H444" s="946">
        <v>1175.8</v>
      </c>
      <c r="I444" s="947"/>
      <c r="J444" s="964"/>
      <c r="K444" s="946">
        <v>1000.71</v>
      </c>
      <c r="L444" s="947"/>
      <c r="M444" s="964"/>
      <c r="N444" s="946">
        <v>2130.4699999999998</v>
      </c>
      <c r="O444" s="947"/>
      <c r="P444" s="964"/>
      <c r="Q444" s="946">
        <v>-26.47</v>
      </c>
      <c r="R444" s="947"/>
      <c r="S444" s="964"/>
      <c r="T444" s="946">
        <v>696.46</v>
      </c>
      <c r="U444" s="947"/>
      <c r="V444" s="964"/>
      <c r="W444" s="946">
        <v>765.73</v>
      </c>
      <c r="X444" s="947"/>
      <c r="Y444" s="964"/>
      <c r="Z444" s="946">
        <v>1032.8799999999901</v>
      </c>
      <c r="AA444" s="947"/>
      <c r="AB444" s="964"/>
      <c r="AC444" s="946">
        <v>1579.25</v>
      </c>
      <c r="AD444" s="947"/>
      <c r="AE444" s="964"/>
      <c r="AF444" s="946">
        <v>520.05999999999995</v>
      </c>
      <c r="AG444" s="947"/>
      <c r="AH444" s="964"/>
      <c r="AI444" s="946">
        <v>2684.08</v>
      </c>
      <c r="AJ444" s="947"/>
      <c r="AK444" s="964"/>
      <c r="AL444" s="946">
        <v>612.36</v>
      </c>
      <c r="AM444" s="947"/>
      <c r="AN444" s="964"/>
      <c r="AO444" s="946">
        <v>3893.39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14490.84</v>
      </c>
      <c r="F445" s="947"/>
      <c r="G445" s="948"/>
      <c r="H445" s="946">
        <v>888.43</v>
      </c>
      <c r="I445" s="947"/>
      <c r="J445" s="948"/>
      <c r="K445" s="946">
        <v>834.79</v>
      </c>
      <c r="L445" s="947"/>
      <c r="M445" s="948"/>
      <c r="N445" s="946">
        <v>920.35</v>
      </c>
      <c r="O445" s="947"/>
      <c r="P445" s="948"/>
      <c r="Q445" s="946">
        <v>1182</v>
      </c>
      <c r="R445" s="947"/>
      <c r="S445" s="948"/>
      <c r="T445" s="946">
        <v>563.67999999999995</v>
      </c>
      <c r="U445" s="947"/>
      <c r="V445" s="948"/>
      <c r="W445" s="946">
        <v>1326.84</v>
      </c>
      <c r="X445" s="947"/>
      <c r="Y445" s="948"/>
      <c r="Z445" s="946">
        <v>1684.06</v>
      </c>
      <c r="AA445" s="947"/>
      <c r="AB445" s="948"/>
      <c r="AC445" s="946">
        <v>2009.83</v>
      </c>
      <c r="AD445" s="947"/>
      <c r="AE445" s="948"/>
      <c r="AF445" s="946">
        <v>1072.2</v>
      </c>
      <c r="AG445" s="947"/>
      <c r="AH445" s="948"/>
      <c r="AI445" s="946">
        <v>739.84</v>
      </c>
      <c r="AJ445" s="947"/>
      <c r="AK445" s="948"/>
      <c r="AL445" s="946">
        <v>2026.62</v>
      </c>
      <c r="AM445" s="947"/>
      <c r="AN445" s="948"/>
      <c r="AO445" s="946">
        <v>1242.2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17261.149999999998</v>
      </c>
      <c r="F446" s="947"/>
      <c r="G446" s="948"/>
      <c r="H446" s="946">
        <v>1685.84</v>
      </c>
      <c r="I446" s="947"/>
      <c r="J446" s="948"/>
      <c r="K446" s="946">
        <v>1511.47</v>
      </c>
      <c r="L446" s="947"/>
      <c r="M446" s="948"/>
      <c r="N446" s="946">
        <v>848.35999999999899</v>
      </c>
      <c r="O446" s="947"/>
      <c r="P446" s="948"/>
      <c r="Q446" s="946">
        <v>1207.31</v>
      </c>
      <c r="R446" s="947"/>
      <c r="S446" s="948"/>
      <c r="T446" s="946">
        <v>1881.23</v>
      </c>
      <c r="U446" s="947"/>
      <c r="V446" s="948"/>
      <c r="W446" s="946">
        <v>1117.32</v>
      </c>
      <c r="X446" s="947"/>
      <c r="Y446" s="948"/>
      <c r="Z446" s="946">
        <v>1669.59</v>
      </c>
      <c r="AA446" s="947"/>
      <c r="AB446" s="948"/>
      <c r="AC446" s="946">
        <v>1966.23</v>
      </c>
      <c r="AD446" s="947"/>
      <c r="AE446" s="948"/>
      <c r="AF446" s="946">
        <v>751.43999999999903</v>
      </c>
      <c r="AG446" s="947"/>
      <c r="AH446" s="948"/>
      <c r="AI446" s="946">
        <v>1903.85</v>
      </c>
      <c r="AJ446" s="947"/>
      <c r="AK446" s="948"/>
      <c r="AL446" s="946">
        <v>1644.41</v>
      </c>
      <c r="AM446" s="947"/>
      <c r="AN446" s="948"/>
      <c r="AO446" s="946">
        <v>1074.0999999999999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6819.9700000000012</v>
      </c>
      <c r="F447" s="947"/>
      <c r="G447" s="948"/>
      <c r="H447" s="946">
        <v>489.93</v>
      </c>
      <c r="I447" s="947"/>
      <c r="J447" s="948"/>
      <c r="K447" s="946">
        <v>488.81</v>
      </c>
      <c r="L447" s="947"/>
      <c r="M447" s="948"/>
      <c r="N447" s="946">
        <v>612.26</v>
      </c>
      <c r="O447" s="947"/>
      <c r="P447" s="948"/>
      <c r="Q447" s="946">
        <v>561.23</v>
      </c>
      <c r="R447" s="947"/>
      <c r="S447" s="948"/>
      <c r="T447" s="946">
        <v>531.70000000000005</v>
      </c>
      <c r="U447" s="947"/>
      <c r="V447" s="948"/>
      <c r="W447" s="946">
        <v>816.29</v>
      </c>
      <c r="X447" s="947"/>
      <c r="Y447" s="948"/>
      <c r="Z447" s="946">
        <v>470.89</v>
      </c>
      <c r="AA447" s="947"/>
      <c r="AB447" s="948"/>
      <c r="AC447" s="946">
        <v>457.29</v>
      </c>
      <c r="AD447" s="947"/>
      <c r="AE447" s="948"/>
      <c r="AF447" s="946">
        <v>457.03</v>
      </c>
      <c r="AG447" s="947"/>
      <c r="AH447" s="948"/>
      <c r="AI447" s="946">
        <v>474.14</v>
      </c>
      <c r="AJ447" s="947"/>
      <c r="AK447" s="948"/>
      <c r="AL447" s="946">
        <v>987.09</v>
      </c>
      <c r="AM447" s="947"/>
      <c r="AN447" s="948"/>
      <c r="AO447" s="946">
        <v>473.31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11402.679999999997</v>
      </c>
      <c r="F448" s="947"/>
      <c r="G448" s="948"/>
      <c r="H448" s="946">
        <v>1136.53</v>
      </c>
      <c r="I448" s="947"/>
      <c r="J448" s="948"/>
      <c r="K448" s="946">
        <v>1473.71</v>
      </c>
      <c r="L448" s="947"/>
      <c r="M448" s="948"/>
      <c r="N448" s="946">
        <v>1600.52</v>
      </c>
      <c r="O448" s="947"/>
      <c r="P448" s="948"/>
      <c r="Q448" s="946">
        <v>1431.34</v>
      </c>
      <c r="R448" s="947"/>
      <c r="S448" s="948"/>
      <c r="T448" s="946">
        <v>125.109999999999</v>
      </c>
      <c r="U448" s="947"/>
      <c r="V448" s="948"/>
      <c r="W448" s="946">
        <v>866.07999999999902</v>
      </c>
      <c r="X448" s="947"/>
      <c r="Y448" s="948"/>
      <c r="Z448" s="946">
        <v>321.39</v>
      </c>
      <c r="AA448" s="947"/>
      <c r="AB448" s="948"/>
      <c r="AC448" s="946">
        <v>-186.54</v>
      </c>
      <c r="AD448" s="947"/>
      <c r="AE448" s="948"/>
      <c r="AF448" s="946">
        <v>974.94</v>
      </c>
      <c r="AG448" s="947"/>
      <c r="AH448" s="948"/>
      <c r="AI448" s="946">
        <v>1782.08</v>
      </c>
      <c r="AJ448" s="947"/>
      <c r="AK448" s="948"/>
      <c r="AL448" s="946">
        <v>933.29</v>
      </c>
      <c r="AM448" s="947"/>
      <c r="AN448" s="948"/>
      <c r="AO448" s="946">
        <v>944.23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21058.589999999978</v>
      </c>
      <c r="F449" s="947"/>
      <c r="G449" s="948"/>
      <c r="H449" s="946">
        <v>2136.81</v>
      </c>
      <c r="I449" s="947"/>
      <c r="J449" s="948"/>
      <c r="K449" s="946">
        <v>1451.5</v>
      </c>
      <c r="L449" s="947"/>
      <c r="M449" s="948"/>
      <c r="N449" s="946">
        <v>1614.5</v>
      </c>
      <c r="O449" s="947"/>
      <c r="P449" s="948"/>
      <c r="Q449" s="946">
        <v>1851</v>
      </c>
      <c r="R449" s="947"/>
      <c r="S449" s="948"/>
      <c r="T449" s="946">
        <v>1446</v>
      </c>
      <c r="U449" s="947"/>
      <c r="V449" s="948"/>
      <c r="W449" s="946">
        <v>1446</v>
      </c>
      <c r="X449" s="947"/>
      <c r="Y449" s="948"/>
      <c r="Z449" s="946">
        <v>1446</v>
      </c>
      <c r="AA449" s="947"/>
      <c r="AB449" s="948"/>
      <c r="AC449" s="946">
        <v>1851</v>
      </c>
      <c r="AD449" s="947"/>
      <c r="AE449" s="948"/>
      <c r="AF449" s="946">
        <v>2336</v>
      </c>
      <c r="AG449" s="947"/>
      <c r="AH449" s="948"/>
      <c r="AI449" s="946">
        <v>1446</v>
      </c>
      <c r="AJ449" s="947"/>
      <c r="AK449" s="948"/>
      <c r="AL449" s="946">
        <v>1643.99999999999</v>
      </c>
      <c r="AM449" s="947"/>
      <c r="AN449" s="948"/>
      <c r="AO449" s="946">
        <v>2389.7799999999902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17537.199999999979</v>
      </c>
      <c r="F450" s="947"/>
      <c r="G450" s="948"/>
      <c r="H450" s="946">
        <v>-1533.03</v>
      </c>
      <c r="I450" s="947"/>
      <c r="J450" s="948"/>
      <c r="K450" s="946">
        <v>3071.81</v>
      </c>
      <c r="L450" s="947"/>
      <c r="M450" s="948"/>
      <c r="N450" s="946">
        <v>1555.75</v>
      </c>
      <c r="O450" s="947"/>
      <c r="P450" s="948"/>
      <c r="Q450" s="946">
        <v>877.86</v>
      </c>
      <c r="R450" s="947"/>
      <c r="S450" s="948"/>
      <c r="T450" s="946">
        <v>1784.51</v>
      </c>
      <c r="U450" s="947"/>
      <c r="V450" s="948"/>
      <c r="W450" s="946">
        <v>943.81</v>
      </c>
      <c r="X450" s="947"/>
      <c r="Y450" s="948"/>
      <c r="Z450" s="946">
        <v>2088.16</v>
      </c>
      <c r="AA450" s="947"/>
      <c r="AB450" s="948"/>
      <c r="AC450" s="946">
        <v>2166.61</v>
      </c>
      <c r="AD450" s="947"/>
      <c r="AE450" s="948"/>
      <c r="AF450" s="946">
        <v>769.27</v>
      </c>
      <c r="AG450" s="947"/>
      <c r="AH450" s="948"/>
      <c r="AI450" s="946">
        <v>3002.4699999999898</v>
      </c>
      <c r="AJ450" s="947"/>
      <c r="AK450" s="948"/>
      <c r="AL450" s="946">
        <v>2468.72999999999</v>
      </c>
      <c r="AM450" s="947"/>
      <c r="AN450" s="948"/>
      <c r="AO450" s="946">
        <v>341.25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79740.439999999871</v>
      </c>
      <c r="F451" s="947"/>
      <c r="G451" s="948"/>
      <c r="H451" s="946">
        <v>3513.76</v>
      </c>
      <c r="I451" s="947"/>
      <c r="J451" s="948"/>
      <c r="K451" s="946">
        <v>3649.91</v>
      </c>
      <c r="L451" s="947"/>
      <c r="M451" s="948"/>
      <c r="N451" s="946">
        <v>6111.91</v>
      </c>
      <c r="O451" s="947"/>
      <c r="P451" s="948"/>
      <c r="Q451" s="946">
        <v>9751.2199999999993</v>
      </c>
      <c r="R451" s="947"/>
      <c r="S451" s="948"/>
      <c r="T451" s="946">
        <v>9131.23</v>
      </c>
      <c r="U451" s="947"/>
      <c r="V451" s="948"/>
      <c r="W451" s="946">
        <v>5470.3199999999897</v>
      </c>
      <c r="X451" s="947"/>
      <c r="Y451" s="948"/>
      <c r="Z451" s="946">
        <v>6652.8099999999904</v>
      </c>
      <c r="AA451" s="947"/>
      <c r="AB451" s="948"/>
      <c r="AC451" s="946">
        <v>4439.45</v>
      </c>
      <c r="AD451" s="947"/>
      <c r="AE451" s="948"/>
      <c r="AF451" s="946">
        <v>5921.58</v>
      </c>
      <c r="AG451" s="947"/>
      <c r="AH451" s="948"/>
      <c r="AI451" s="946">
        <v>8774.53999999999</v>
      </c>
      <c r="AJ451" s="947"/>
      <c r="AK451" s="948"/>
      <c r="AL451" s="946">
        <v>10642.3499999999</v>
      </c>
      <c r="AM451" s="947"/>
      <c r="AN451" s="948"/>
      <c r="AO451" s="946">
        <v>5681.36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>
        <f t="shared" si="8"/>
        <v>0</v>
      </c>
      <c r="B454" s="646"/>
      <c r="C454" s="947"/>
      <c r="D454" s="948"/>
      <c r="E454" s="946"/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0.19984542663802266</v>
      </c>
      <c r="D455" s="952"/>
      <c r="E455" s="953">
        <v>905269.61999999906</v>
      </c>
      <c r="F455" s="951"/>
      <c r="G455" s="952"/>
      <c r="H455" s="953">
        <v>57809.59</v>
      </c>
      <c r="I455" s="951"/>
      <c r="J455" s="952"/>
      <c r="K455" s="953">
        <v>62992.979999999901</v>
      </c>
      <c r="L455" s="951"/>
      <c r="M455" s="952"/>
      <c r="N455" s="953">
        <v>66882.62</v>
      </c>
      <c r="O455" s="951"/>
      <c r="P455" s="952"/>
      <c r="Q455" s="953">
        <v>76050.039999999994</v>
      </c>
      <c r="R455" s="951"/>
      <c r="S455" s="952"/>
      <c r="T455" s="953">
        <v>81306.929999999906</v>
      </c>
      <c r="U455" s="951"/>
      <c r="V455" s="952"/>
      <c r="W455" s="953">
        <v>69974.31</v>
      </c>
      <c r="X455" s="951"/>
      <c r="Y455" s="952"/>
      <c r="Z455" s="953">
        <v>76210.359999999899</v>
      </c>
      <c r="AA455" s="951"/>
      <c r="AB455" s="952"/>
      <c r="AC455" s="953">
        <v>69731.679999999993</v>
      </c>
      <c r="AD455" s="951"/>
      <c r="AE455" s="952"/>
      <c r="AF455" s="953">
        <v>70935.349999999904</v>
      </c>
      <c r="AG455" s="951"/>
      <c r="AH455" s="952"/>
      <c r="AI455" s="953">
        <v>90240.04</v>
      </c>
      <c r="AJ455" s="951"/>
      <c r="AK455" s="952"/>
      <c r="AL455" s="953">
        <v>97092.049999999901</v>
      </c>
      <c r="AM455" s="951"/>
      <c r="AN455" s="952"/>
      <c r="AO455" s="953">
        <v>86043.67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68445.899999999994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5535.51</v>
      </c>
      <c r="AA457" s="947"/>
      <c r="AB457" s="948"/>
      <c r="AC457" s="954">
        <v>5535.51</v>
      </c>
      <c r="AD457" s="947"/>
      <c r="AE457" s="948"/>
      <c r="AF457" s="954">
        <v>5535.51</v>
      </c>
      <c r="AG457" s="947"/>
      <c r="AH457" s="948"/>
      <c r="AI457" s="954">
        <v>5535.5099999999902</v>
      </c>
      <c r="AJ457" s="947"/>
      <c r="AK457" s="948"/>
      <c r="AL457" s="954">
        <v>5535.51</v>
      </c>
      <c r="AM457" s="947"/>
      <c r="AN457" s="948"/>
      <c r="AO457" s="954">
        <v>5535.51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29333.92999999996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2372.3599999999901</v>
      </c>
      <c r="AA458" s="949"/>
      <c r="AB458" s="950"/>
      <c r="AC458" s="965">
        <v>2372.3599999999901</v>
      </c>
      <c r="AD458" s="949"/>
      <c r="AE458" s="950"/>
      <c r="AF458" s="965">
        <v>2372.3599999999901</v>
      </c>
      <c r="AG458" s="949"/>
      <c r="AH458" s="950"/>
      <c r="AI458" s="965">
        <v>2372.36</v>
      </c>
      <c r="AJ458" s="949"/>
      <c r="AK458" s="950"/>
      <c r="AL458" s="965">
        <v>2372.3599999999901</v>
      </c>
      <c r="AM458" s="949"/>
      <c r="AN458" s="950"/>
      <c r="AO458" s="965">
        <v>2372.35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53510.45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5663.2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57840.359999999971</v>
      </c>
      <c r="F461" s="947"/>
      <c r="G461" s="948"/>
      <c r="H461" s="954">
        <v>4901.99</v>
      </c>
      <c r="I461" s="947"/>
      <c r="J461" s="948"/>
      <c r="K461" s="954">
        <v>5526.4299999999903</v>
      </c>
      <c r="L461" s="947"/>
      <c r="M461" s="948"/>
      <c r="N461" s="954">
        <v>6365.49999999999</v>
      </c>
      <c r="O461" s="947"/>
      <c r="P461" s="948"/>
      <c r="Q461" s="954">
        <v>5652.17</v>
      </c>
      <c r="R461" s="947"/>
      <c r="S461" s="948"/>
      <c r="T461" s="954">
        <v>4788.7</v>
      </c>
      <c r="U461" s="947"/>
      <c r="V461" s="948"/>
      <c r="W461" s="954">
        <v>4297.29</v>
      </c>
      <c r="X461" s="947"/>
      <c r="Y461" s="948"/>
      <c r="Z461" s="954">
        <v>4110.2</v>
      </c>
      <c r="AA461" s="947"/>
      <c r="AB461" s="948"/>
      <c r="AC461" s="954">
        <v>4381.46</v>
      </c>
      <c r="AD461" s="947"/>
      <c r="AE461" s="948"/>
      <c r="AF461" s="954">
        <v>4473.08</v>
      </c>
      <c r="AG461" s="947"/>
      <c r="AH461" s="948"/>
      <c r="AI461" s="954">
        <v>4054.53999999999</v>
      </c>
      <c r="AJ461" s="947"/>
      <c r="AK461" s="948"/>
      <c r="AL461" s="954">
        <v>4522.5</v>
      </c>
      <c r="AM461" s="947"/>
      <c r="AN461" s="948"/>
      <c r="AO461" s="954">
        <v>4766.5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75687.960000000006</v>
      </c>
      <c r="F462" s="947"/>
      <c r="G462" s="948"/>
      <c r="H462" s="954">
        <v>6307.33</v>
      </c>
      <c r="I462" s="947"/>
      <c r="J462" s="948"/>
      <c r="K462" s="954">
        <v>6307.33</v>
      </c>
      <c r="L462" s="947"/>
      <c r="M462" s="948"/>
      <c r="N462" s="954">
        <v>6307.33</v>
      </c>
      <c r="O462" s="947"/>
      <c r="P462" s="948"/>
      <c r="Q462" s="954">
        <v>6307.33</v>
      </c>
      <c r="R462" s="947"/>
      <c r="S462" s="948"/>
      <c r="T462" s="954">
        <v>6307.33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6307.33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4079.18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717.06</v>
      </c>
      <c r="R463" s="949"/>
      <c r="S463" s="950"/>
      <c r="T463" s="965">
        <v>250</v>
      </c>
      <c r="U463" s="949"/>
      <c r="V463" s="950"/>
      <c r="W463" s="965">
        <v>250</v>
      </c>
      <c r="X463" s="949"/>
      <c r="Y463" s="950"/>
      <c r="Z463" s="965">
        <v>0</v>
      </c>
      <c r="AA463" s="949"/>
      <c r="AB463" s="950"/>
      <c r="AC463" s="965">
        <v>468.55</v>
      </c>
      <c r="AD463" s="949"/>
      <c r="AE463" s="950"/>
      <c r="AF463" s="965">
        <v>400</v>
      </c>
      <c r="AG463" s="949"/>
      <c r="AH463" s="950"/>
      <c r="AI463" s="965">
        <v>0</v>
      </c>
      <c r="AJ463" s="949"/>
      <c r="AK463" s="950"/>
      <c r="AL463" s="965">
        <v>371.68</v>
      </c>
      <c r="AM463" s="949"/>
      <c r="AN463" s="950"/>
      <c r="AO463" s="965">
        <v>121.89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2887.7799999999943</v>
      </c>
      <c r="F464" s="947"/>
      <c r="G464" s="948"/>
      <c r="H464" s="954">
        <v>173.95999999999901</v>
      </c>
      <c r="I464" s="947"/>
      <c r="J464" s="948"/>
      <c r="K464" s="954">
        <v>173.95999999999901</v>
      </c>
      <c r="L464" s="947"/>
      <c r="M464" s="948"/>
      <c r="N464" s="954">
        <v>173.95999999999901</v>
      </c>
      <c r="O464" s="947"/>
      <c r="P464" s="948"/>
      <c r="Q464" s="954">
        <v>173.95999999999901</v>
      </c>
      <c r="R464" s="947"/>
      <c r="S464" s="948"/>
      <c r="T464" s="954">
        <v>173.95999999999901</v>
      </c>
      <c r="U464" s="947"/>
      <c r="V464" s="948"/>
      <c r="W464" s="954">
        <v>173.96</v>
      </c>
      <c r="X464" s="947"/>
      <c r="Y464" s="948"/>
      <c r="Z464" s="954">
        <v>173.96</v>
      </c>
      <c r="AA464" s="947"/>
      <c r="AB464" s="948"/>
      <c r="AC464" s="954">
        <v>173.96</v>
      </c>
      <c r="AD464" s="947"/>
      <c r="AE464" s="948"/>
      <c r="AF464" s="954">
        <v>173.96</v>
      </c>
      <c r="AG464" s="947"/>
      <c r="AH464" s="948"/>
      <c r="AI464" s="954">
        <v>529.32000000000005</v>
      </c>
      <c r="AJ464" s="947"/>
      <c r="AK464" s="948"/>
      <c r="AL464" s="954">
        <v>618.86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/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0.19686871377372425</v>
      </c>
      <c r="D469" s="952"/>
      <c r="E469" s="953">
        <v>891785.55999999994</v>
      </c>
      <c r="F469" s="951"/>
      <c r="G469" s="952"/>
      <c r="H469" s="953">
        <v>74621.799999999988</v>
      </c>
      <c r="I469" s="951"/>
      <c r="J469" s="952"/>
      <c r="K469" s="953">
        <v>75246.239999999976</v>
      </c>
      <c r="L469" s="951"/>
      <c r="M469" s="952"/>
      <c r="N469" s="953">
        <v>76085.309999999983</v>
      </c>
      <c r="O469" s="951"/>
      <c r="P469" s="952"/>
      <c r="Q469" s="953">
        <v>75589.039999999994</v>
      </c>
      <c r="R469" s="951"/>
      <c r="S469" s="952"/>
      <c r="T469" s="953">
        <v>74258.509999999995</v>
      </c>
      <c r="U469" s="951"/>
      <c r="V469" s="952"/>
      <c r="W469" s="953">
        <v>73767.100000000006</v>
      </c>
      <c r="X469" s="951"/>
      <c r="Y469" s="952"/>
      <c r="Z469" s="953">
        <v>74162.559999999998</v>
      </c>
      <c r="AA469" s="951"/>
      <c r="AB469" s="952"/>
      <c r="AC469" s="953">
        <v>73588.920000000013</v>
      </c>
      <c r="AD469" s="951"/>
      <c r="AE469" s="952"/>
      <c r="AF469" s="953">
        <v>73611.990000000005</v>
      </c>
      <c r="AG469" s="951"/>
      <c r="AH469" s="952"/>
      <c r="AI469" s="953">
        <v>73148.809999999983</v>
      </c>
      <c r="AJ469" s="951"/>
      <c r="AK469" s="952"/>
      <c r="AL469" s="953">
        <v>74077.989999999991</v>
      </c>
      <c r="AM469" s="951"/>
      <c r="AN469" s="952"/>
      <c r="AO469" s="953">
        <v>73627.289999999994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212300.79999999978</v>
      </c>
      <c r="F470" s="966"/>
      <c r="G470" s="967"/>
      <c r="H470" s="968"/>
      <c r="I470" s="966"/>
      <c r="J470" s="967"/>
      <c r="K470" s="968"/>
      <c r="L470" s="966"/>
      <c r="M470" s="967"/>
      <c r="N470" s="968"/>
      <c r="O470" s="966"/>
      <c r="P470" s="967"/>
      <c r="Q470" s="968"/>
      <c r="R470" s="966"/>
      <c r="S470" s="967"/>
      <c r="T470" s="968"/>
      <c r="U470" s="966"/>
      <c r="V470" s="967"/>
      <c r="W470" s="968"/>
      <c r="X470" s="966"/>
      <c r="Y470" s="967"/>
      <c r="Z470" s="968"/>
      <c r="AA470" s="966"/>
      <c r="AB470" s="967"/>
      <c r="AC470" s="968"/>
      <c r="AD470" s="966"/>
      <c r="AE470" s="967"/>
      <c r="AF470" s="968"/>
      <c r="AG470" s="966"/>
      <c r="AH470" s="967"/>
      <c r="AI470" s="968"/>
      <c r="AJ470" s="966"/>
      <c r="AK470" s="967"/>
      <c r="AL470" s="968"/>
      <c r="AM470" s="966"/>
      <c r="AN470" s="967"/>
      <c r="AO470" s="968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1.1593323726346589</v>
      </c>
      <c r="D471" s="952"/>
      <c r="E471" s="953">
        <v>5251600.6699999971</v>
      </c>
      <c r="F471" s="951"/>
      <c r="G471" s="952"/>
      <c r="H471" s="953">
        <v>381841.26999999897</v>
      </c>
      <c r="I471" s="951"/>
      <c r="J471" s="952"/>
      <c r="K471" s="953">
        <v>393429.88</v>
      </c>
      <c r="L471" s="951"/>
      <c r="M471" s="952"/>
      <c r="N471" s="953">
        <v>419420.68</v>
      </c>
      <c r="O471" s="951"/>
      <c r="P471" s="952"/>
      <c r="Q471" s="953">
        <v>468281.03999999899</v>
      </c>
      <c r="R471" s="951"/>
      <c r="S471" s="952"/>
      <c r="T471" s="953">
        <v>529959.82999999996</v>
      </c>
      <c r="U471" s="951"/>
      <c r="V471" s="952"/>
      <c r="W471" s="953">
        <v>407581.51</v>
      </c>
      <c r="X471" s="951"/>
      <c r="Y471" s="952"/>
      <c r="Z471" s="953">
        <v>408432.83</v>
      </c>
      <c r="AA471" s="951"/>
      <c r="AB471" s="952"/>
      <c r="AC471" s="953">
        <v>381045.69</v>
      </c>
      <c r="AD471" s="951"/>
      <c r="AE471" s="952"/>
      <c r="AF471" s="953">
        <v>431685.49999999901</v>
      </c>
      <c r="AG471" s="951"/>
      <c r="AH471" s="952"/>
      <c r="AI471" s="953">
        <v>459926.99</v>
      </c>
      <c r="AJ471" s="951"/>
      <c r="AK471" s="952"/>
      <c r="AL471" s="953">
        <v>490511.27</v>
      </c>
      <c r="AM471" s="951"/>
      <c r="AN471" s="952"/>
      <c r="AO471" s="953">
        <v>479484.18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177799.07999999996</v>
      </c>
      <c r="F472" s="969"/>
      <c r="G472" s="970"/>
      <c r="H472" s="971">
        <v>1025.98</v>
      </c>
      <c r="I472" s="969"/>
      <c r="J472" s="970"/>
      <c r="K472" s="971">
        <v>7193.01</v>
      </c>
      <c r="L472" s="969"/>
      <c r="M472" s="970"/>
      <c r="N472" s="971">
        <v>149189.07999999999</v>
      </c>
      <c r="O472" s="969"/>
      <c r="P472" s="970"/>
      <c r="Q472" s="971">
        <v>1898.24</v>
      </c>
      <c r="R472" s="969"/>
      <c r="S472" s="970"/>
      <c r="T472" s="971">
        <v>2924.08</v>
      </c>
      <c r="U472" s="969"/>
      <c r="V472" s="970"/>
      <c r="W472" s="971">
        <v>882.81</v>
      </c>
      <c r="X472" s="969"/>
      <c r="Y472" s="970"/>
      <c r="Z472" s="971">
        <v>2.7</v>
      </c>
      <c r="AA472" s="969"/>
      <c r="AB472" s="970"/>
      <c r="AC472" s="971">
        <v>10884.85</v>
      </c>
      <c r="AD472" s="969"/>
      <c r="AE472" s="970"/>
      <c r="AF472" s="971">
        <v>175.28</v>
      </c>
      <c r="AG472" s="969"/>
      <c r="AH472" s="970"/>
      <c r="AI472" s="971">
        <v>533.38</v>
      </c>
      <c r="AJ472" s="969"/>
      <c r="AK472" s="970"/>
      <c r="AL472" s="971">
        <v>2213.87</v>
      </c>
      <c r="AM472" s="969"/>
      <c r="AN472" s="970"/>
      <c r="AO472" s="971">
        <v>875.8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480905.59999999992</v>
      </c>
      <c r="F473" s="972"/>
      <c r="G473" s="973"/>
      <c r="H473" s="946">
        <v>17420.099999999999</v>
      </c>
      <c r="I473" s="972"/>
      <c r="J473" s="973"/>
      <c r="K473" s="946">
        <v>16676.2</v>
      </c>
      <c r="L473" s="972"/>
      <c r="M473" s="973"/>
      <c r="N473" s="946">
        <v>40227.1</v>
      </c>
      <c r="O473" s="972"/>
      <c r="P473" s="973"/>
      <c r="Q473" s="946">
        <v>47079</v>
      </c>
      <c r="R473" s="972"/>
      <c r="S473" s="973"/>
      <c r="T473" s="946">
        <v>57980.4</v>
      </c>
      <c r="U473" s="972"/>
      <c r="V473" s="973"/>
      <c r="W473" s="946">
        <v>37435.699999999997</v>
      </c>
      <c r="X473" s="972"/>
      <c r="Y473" s="973"/>
      <c r="Z473" s="946">
        <v>22240.799999999999</v>
      </c>
      <c r="AA473" s="972"/>
      <c r="AB473" s="973"/>
      <c r="AC473" s="946">
        <v>31297.599999999999</v>
      </c>
      <c r="AD473" s="972"/>
      <c r="AE473" s="973"/>
      <c r="AF473" s="946">
        <v>54160.1</v>
      </c>
      <c r="AG473" s="972"/>
      <c r="AH473" s="973"/>
      <c r="AI473" s="946">
        <v>35867.599999999999</v>
      </c>
      <c r="AJ473" s="972"/>
      <c r="AK473" s="973"/>
      <c r="AL473" s="946">
        <v>76456</v>
      </c>
      <c r="AM473" s="972"/>
      <c r="AN473" s="973"/>
      <c r="AO473" s="946">
        <v>44065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413289.73000000004</v>
      </c>
      <c r="F474" s="972"/>
      <c r="G474" s="973"/>
      <c r="H474" s="946">
        <v>18905</v>
      </c>
      <c r="I474" s="972"/>
      <c r="J474" s="973"/>
      <c r="K474" s="946">
        <v>2278.0700000000002</v>
      </c>
      <c r="L474" s="972"/>
      <c r="M474" s="973"/>
      <c r="N474" s="946">
        <v>33136.94</v>
      </c>
      <c r="O474" s="972"/>
      <c r="P474" s="973"/>
      <c r="Q474" s="946">
        <v>56342.42</v>
      </c>
      <c r="R474" s="972"/>
      <c r="S474" s="973"/>
      <c r="T474" s="946">
        <v>57768.59</v>
      </c>
      <c r="U474" s="972"/>
      <c r="V474" s="973"/>
      <c r="W474" s="946">
        <v>27489.53</v>
      </c>
      <c r="X474" s="972"/>
      <c r="Y474" s="973"/>
      <c r="Z474" s="946">
        <v>12290.01</v>
      </c>
      <c r="AA474" s="972"/>
      <c r="AB474" s="973"/>
      <c r="AC474" s="946">
        <v>19618.689999999999</v>
      </c>
      <c r="AD474" s="972"/>
      <c r="AE474" s="973"/>
      <c r="AF474" s="946">
        <v>54073.89</v>
      </c>
      <c r="AG474" s="972"/>
      <c r="AH474" s="973"/>
      <c r="AI474" s="946">
        <v>46412.76</v>
      </c>
      <c r="AJ474" s="972"/>
      <c r="AK474" s="973"/>
      <c r="AL474" s="946">
        <v>53053.83</v>
      </c>
      <c r="AM474" s="972"/>
      <c r="AN474" s="973"/>
      <c r="AO474" s="946">
        <v>31920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16050</v>
      </c>
      <c r="F477" s="972"/>
      <c r="G477" s="973"/>
      <c r="H477" s="946">
        <v>1800</v>
      </c>
      <c r="I477" s="972"/>
      <c r="J477" s="973"/>
      <c r="K477" s="946">
        <v>3000</v>
      </c>
      <c r="L477" s="972"/>
      <c r="M477" s="973"/>
      <c r="N477" s="946">
        <v>0</v>
      </c>
      <c r="O477" s="972"/>
      <c r="P477" s="973"/>
      <c r="Q477" s="946">
        <v>2625</v>
      </c>
      <c r="R477" s="972"/>
      <c r="S477" s="973"/>
      <c r="T477" s="946">
        <v>2250</v>
      </c>
      <c r="U477" s="972"/>
      <c r="V477" s="973"/>
      <c r="W477" s="946">
        <v>3375</v>
      </c>
      <c r="X477" s="972"/>
      <c r="Y477" s="973"/>
      <c r="Z477" s="946">
        <v>0</v>
      </c>
      <c r="AA477" s="972"/>
      <c r="AB477" s="973"/>
      <c r="AC477" s="946">
        <v>0</v>
      </c>
      <c r="AD477" s="972"/>
      <c r="AE477" s="973"/>
      <c r="AF477" s="946">
        <v>0</v>
      </c>
      <c r="AG477" s="972"/>
      <c r="AH477" s="973"/>
      <c r="AI477" s="946">
        <v>3000</v>
      </c>
      <c r="AJ477" s="972"/>
      <c r="AK477" s="973"/>
      <c r="AL477" s="946">
        <v>0</v>
      </c>
      <c r="AM477" s="972"/>
      <c r="AN477" s="973"/>
      <c r="AO477" s="946">
        <v>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24625</v>
      </c>
      <c r="F478" s="972"/>
      <c r="G478" s="973"/>
      <c r="H478" s="946">
        <v>0</v>
      </c>
      <c r="I478" s="972"/>
      <c r="J478" s="973"/>
      <c r="K478" s="946">
        <v>16075</v>
      </c>
      <c r="L478" s="972"/>
      <c r="M478" s="973"/>
      <c r="N478" s="946">
        <v>10000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0</v>
      </c>
      <c r="X478" s="972"/>
      <c r="Y478" s="973"/>
      <c r="Z478" s="946">
        <v>0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0</v>
      </c>
      <c r="AJ478" s="972"/>
      <c r="AK478" s="973"/>
      <c r="AL478" s="946">
        <v>0</v>
      </c>
      <c r="AM478" s="972"/>
      <c r="AN478" s="973"/>
      <c r="AO478" s="946">
        <v>-1450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226407.91</v>
      </c>
      <c r="F480" s="972"/>
      <c r="G480" s="973"/>
      <c r="H480" s="946">
        <v>7748.33</v>
      </c>
      <c r="I480" s="972"/>
      <c r="J480" s="973"/>
      <c r="K480" s="946">
        <v>9567.86</v>
      </c>
      <c r="L480" s="972"/>
      <c r="M480" s="973"/>
      <c r="N480" s="946">
        <v>17829.84</v>
      </c>
      <c r="O480" s="972"/>
      <c r="P480" s="973"/>
      <c r="Q480" s="946">
        <v>25721.54</v>
      </c>
      <c r="R480" s="972"/>
      <c r="S480" s="973"/>
      <c r="T480" s="946">
        <v>29302.880000000001</v>
      </c>
      <c r="U480" s="972"/>
      <c r="V480" s="973"/>
      <c r="W480" s="946">
        <v>14882.07</v>
      </c>
      <c r="X480" s="972"/>
      <c r="Y480" s="973"/>
      <c r="Z480" s="946">
        <v>12904.4</v>
      </c>
      <c r="AA480" s="972"/>
      <c r="AB480" s="973"/>
      <c r="AC480" s="946">
        <v>12484.82</v>
      </c>
      <c r="AD480" s="972"/>
      <c r="AE480" s="973"/>
      <c r="AF480" s="946">
        <v>27945.7</v>
      </c>
      <c r="AG480" s="972"/>
      <c r="AH480" s="973"/>
      <c r="AI480" s="946">
        <v>21659.19</v>
      </c>
      <c r="AJ480" s="972"/>
      <c r="AK480" s="973"/>
      <c r="AL480" s="946">
        <v>33761.279999999999</v>
      </c>
      <c r="AM480" s="972"/>
      <c r="AN480" s="973"/>
      <c r="AO480" s="946">
        <v>12600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256445</v>
      </c>
      <c r="F483" s="974"/>
      <c r="G483" s="973"/>
      <c r="H483" s="946">
        <v>10115</v>
      </c>
      <c r="I483" s="974"/>
      <c r="J483" s="973"/>
      <c r="K483" s="946">
        <v>10710</v>
      </c>
      <c r="L483" s="974"/>
      <c r="M483" s="973"/>
      <c r="N483" s="946">
        <v>19635</v>
      </c>
      <c r="O483" s="974"/>
      <c r="P483" s="973"/>
      <c r="Q483" s="946">
        <v>30940</v>
      </c>
      <c r="R483" s="974"/>
      <c r="S483" s="973"/>
      <c r="T483" s="946">
        <v>34510</v>
      </c>
      <c r="U483" s="974"/>
      <c r="V483" s="973"/>
      <c r="W483" s="946">
        <v>20230</v>
      </c>
      <c r="X483" s="974"/>
      <c r="Y483" s="973"/>
      <c r="Z483" s="946">
        <v>18445</v>
      </c>
      <c r="AA483" s="974"/>
      <c r="AB483" s="973"/>
      <c r="AC483" s="946">
        <v>19635</v>
      </c>
      <c r="AD483" s="974"/>
      <c r="AE483" s="973"/>
      <c r="AF483" s="946">
        <v>24990</v>
      </c>
      <c r="AG483" s="974"/>
      <c r="AH483" s="973"/>
      <c r="AI483" s="946">
        <v>20825</v>
      </c>
      <c r="AJ483" s="974"/>
      <c r="AK483" s="973"/>
      <c r="AL483" s="946">
        <v>24990</v>
      </c>
      <c r="AM483" s="974"/>
      <c r="AN483" s="973"/>
      <c r="AO483" s="946">
        <v>21420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0.35222416803392564</v>
      </c>
      <c r="D484" s="975"/>
      <c r="E484" s="953">
        <v>1595522.3199999998</v>
      </c>
      <c r="F484" s="951"/>
      <c r="G484" s="975"/>
      <c r="H484" s="953">
        <v>57014.41</v>
      </c>
      <c r="I484" s="951"/>
      <c r="J484" s="975"/>
      <c r="K484" s="953">
        <v>65500.14</v>
      </c>
      <c r="L484" s="951"/>
      <c r="M484" s="975"/>
      <c r="N484" s="953">
        <v>270017.95999999996</v>
      </c>
      <c r="O484" s="951"/>
      <c r="P484" s="975"/>
      <c r="Q484" s="953">
        <v>164606.20000000001</v>
      </c>
      <c r="R484" s="951"/>
      <c r="S484" s="975"/>
      <c r="T484" s="953">
        <v>184735.95</v>
      </c>
      <c r="U484" s="951"/>
      <c r="V484" s="975"/>
      <c r="W484" s="953">
        <v>104295.10999999999</v>
      </c>
      <c r="X484" s="951"/>
      <c r="Y484" s="975"/>
      <c r="Z484" s="953">
        <v>65882.91</v>
      </c>
      <c r="AA484" s="951"/>
      <c r="AB484" s="975"/>
      <c r="AC484" s="953">
        <v>93920.959999999992</v>
      </c>
      <c r="AD484" s="951"/>
      <c r="AE484" s="975"/>
      <c r="AF484" s="953">
        <v>161344.97</v>
      </c>
      <c r="AG484" s="951"/>
      <c r="AH484" s="975"/>
      <c r="AI484" s="953">
        <v>128297.93</v>
      </c>
      <c r="AJ484" s="951"/>
      <c r="AK484" s="975"/>
      <c r="AL484" s="953">
        <v>190474.98</v>
      </c>
      <c r="AM484" s="951"/>
      <c r="AN484" s="975"/>
      <c r="AO484" s="953">
        <v>109430.8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216097.59999999992</v>
      </c>
      <c r="F485" s="976"/>
      <c r="G485" s="977"/>
      <c r="H485" s="978"/>
      <c r="I485" s="976"/>
      <c r="J485" s="977"/>
      <c r="K485" s="978"/>
      <c r="L485" s="976"/>
      <c r="M485" s="977"/>
      <c r="N485" s="978"/>
      <c r="O485" s="976"/>
      <c r="P485" s="977"/>
      <c r="Q485" s="978"/>
      <c r="R485" s="976"/>
      <c r="S485" s="977"/>
      <c r="T485" s="978"/>
      <c r="U485" s="976"/>
      <c r="V485" s="977"/>
      <c r="W485" s="978"/>
      <c r="X485" s="976"/>
      <c r="Y485" s="977"/>
      <c r="Z485" s="978"/>
      <c r="AA485" s="976"/>
      <c r="AB485" s="977"/>
      <c r="AC485" s="978"/>
      <c r="AD485" s="976"/>
      <c r="AE485" s="977"/>
      <c r="AF485" s="978"/>
      <c r="AG485" s="976"/>
      <c r="AH485" s="977"/>
      <c r="AI485" s="978"/>
      <c r="AJ485" s="976"/>
      <c r="AK485" s="977"/>
      <c r="AL485" s="978"/>
      <c r="AM485" s="976"/>
      <c r="AN485" s="977"/>
      <c r="AO485" s="978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1.8737006799706614E-2</v>
      </c>
      <c r="E486" s="981">
        <v>873770.71999999741</v>
      </c>
      <c r="F486" s="979" t="s">
        <v>247</v>
      </c>
      <c r="G486" s="980">
        <v>-3.8922239264095417E-2</v>
      </c>
      <c r="H486" s="981">
        <v>-90563.179999999353</v>
      </c>
      <c r="I486" s="979" t="s">
        <v>247</v>
      </c>
      <c r="J486" s="980">
        <v>-5.4416630274005041E-2</v>
      </c>
      <c r="K486" s="981">
        <v>-104506.48000000032</v>
      </c>
      <c r="L486" s="979" t="s">
        <v>247</v>
      </c>
      <c r="M486" s="980">
        <v>5.4323492889149255E-2</v>
      </c>
      <c r="N486" s="981">
        <v>182407.34999999957</v>
      </c>
      <c r="O486" s="979" t="s">
        <v>247</v>
      </c>
      <c r="P486" s="980">
        <v>3.2625828724044917E-2</v>
      </c>
      <c r="Q486" s="981">
        <v>167576.77000000066</v>
      </c>
      <c r="R486" s="979" t="s">
        <v>247</v>
      </c>
      <c r="S486" s="980">
        <v>4.0884611410403608E-2</v>
      </c>
      <c r="T486" s="981">
        <v>224884.23999999982</v>
      </c>
      <c r="U486" s="979" t="s">
        <v>247</v>
      </c>
      <c r="V486" s="980">
        <v>7.0948987752552468E-3</v>
      </c>
      <c r="W486" s="981">
        <v>25400.039999999513</v>
      </c>
      <c r="X486" s="979" t="s">
        <v>247</v>
      </c>
      <c r="Y486" s="980">
        <v>3.4797704224136163E-3</v>
      </c>
      <c r="Z486" s="981">
        <v>11377.819999999279</v>
      </c>
      <c r="AA486" s="979" t="s">
        <v>247</v>
      </c>
      <c r="AB486" s="980">
        <v>-2.4412061280567818E-3</v>
      </c>
      <c r="AC486" s="981">
        <v>-7104.3700000003737</v>
      </c>
      <c r="AD486" s="979" t="s">
        <v>247</v>
      </c>
      <c r="AE486" s="980">
        <v>2.3707295784052979E-2</v>
      </c>
      <c r="AF486" s="981">
        <v>128942.57000000021</v>
      </c>
      <c r="AG486" s="979" t="s">
        <v>247</v>
      </c>
      <c r="AH486" s="980">
        <v>3.1772472719330432E-2</v>
      </c>
      <c r="AI486" s="981">
        <v>127828.12999999983</v>
      </c>
      <c r="AJ486" s="979" t="s">
        <v>247</v>
      </c>
      <c r="AK486" s="980">
        <v>3.9806846875306258E-2</v>
      </c>
      <c r="AL486" s="981">
        <v>195487.83999999941</v>
      </c>
      <c r="AM486" s="979" t="s">
        <v>247</v>
      </c>
      <c r="AN486" s="980">
        <v>2.8272462994784085E-3</v>
      </c>
      <c r="AO486" s="981">
        <v>12039.989999999714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2813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2881</v>
      </c>
      <c r="C492" s="983" t="s">
        <v>247</v>
      </c>
      <c r="D492" s="984">
        <v>2.8358007010502659E-2</v>
      </c>
      <c r="E492" s="985">
        <v>1322430.8699999973</v>
      </c>
      <c r="F492" s="983" t="s">
        <v>247</v>
      </c>
      <c r="G492" s="984">
        <v>-2.3665278708066055E-2</v>
      </c>
      <c r="H492" s="985">
        <v>-55063.709999999352</v>
      </c>
      <c r="I492" s="983" t="s">
        <v>247</v>
      </c>
      <c r="J492" s="984">
        <v>-3.4754246564115479E-2</v>
      </c>
      <c r="K492" s="985">
        <v>-66745.110000000321</v>
      </c>
      <c r="L492" s="983" t="s">
        <v>247</v>
      </c>
      <c r="M492" s="984">
        <v>6.8081479918883706E-2</v>
      </c>
      <c r="N492" s="985">
        <v>228603.89999999956</v>
      </c>
      <c r="O492" s="983" t="s">
        <v>247</v>
      </c>
      <c r="P492" s="984">
        <v>4.1314144571050058E-2</v>
      </c>
      <c r="Q492" s="985">
        <v>212202.76000000065</v>
      </c>
      <c r="R492" s="983" t="s">
        <v>247</v>
      </c>
      <c r="S492" s="984">
        <v>4.8951428753875662E-2</v>
      </c>
      <c r="T492" s="985">
        <v>269255.45999999985</v>
      </c>
      <c r="U492" s="983" t="s">
        <v>247</v>
      </c>
      <c r="V492" s="984">
        <v>1.8404303242624438E-2</v>
      </c>
      <c r="W492" s="985">
        <v>65888.189999999508</v>
      </c>
      <c r="X492" s="983" t="s">
        <v>247</v>
      </c>
      <c r="Y492" s="984">
        <v>1.582591778233031E-2</v>
      </c>
      <c r="Z492" s="985">
        <v>51746.069999999279</v>
      </c>
      <c r="AA492" s="983" t="s">
        <v>247</v>
      </c>
      <c r="AB492" s="984">
        <v>1.1456505308848421E-2</v>
      </c>
      <c r="AC492" s="985">
        <v>33340.589999999625</v>
      </c>
      <c r="AD492" s="983" t="s">
        <v>247</v>
      </c>
      <c r="AE492" s="984">
        <v>2.8423434935751172E-2</v>
      </c>
      <c r="AF492" s="985">
        <v>154593.3700000002</v>
      </c>
      <c r="AG492" s="983" t="s">
        <v>247</v>
      </c>
      <c r="AH492" s="984">
        <v>3.757444773586429E-2</v>
      </c>
      <c r="AI492" s="985">
        <v>151170.83999999982</v>
      </c>
      <c r="AJ492" s="983" t="s">
        <v>247</v>
      </c>
      <c r="AK492" s="984">
        <v>4.7633105240777317E-2</v>
      </c>
      <c r="AL492" s="985">
        <v>233921.8899999994</v>
      </c>
      <c r="AM492" s="983" t="s">
        <v>247</v>
      </c>
      <c r="AN492" s="984">
        <v>1.0218629987301503E-2</v>
      </c>
      <c r="AO492" s="985">
        <v>43516.619999999719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 t="s">
        <v>246</v>
      </c>
      <c r="C493" s="986" t="s">
        <v>247</v>
      </c>
      <c r="D493" s="987">
        <v>1.8737006799706614E-2</v>
      </c>
      <c r="E493" s="988">
        <v>873770.71999999741</v>
      </c>
      <c r="F493" s="986" t="s">
        <v>247</v>
      </c>
      <c r="G493" s="987">
        <v>-3.8922239264095417E-2</v>
      </c>
      <c r="H493" s="988">
        <v>-90563.179999999353</v>
      </c>
      <c r="I493" s="986" t="s">
        <v>247</v>
      </c>
      <c r="J493" s="987">
        <v>-5.4416630274005041E-2</v>
      </c>
      <c r="K493" s="988">
        <v>-104506.48000000032</v>
      </c>
      <c r="L493" s="986" t="s">
        <v>247</v>
      </c>
      <c r="M493" s="987">
        <v>5.4323492889149255E-2</v>
      </c>
      <c r="N493" s="988">
        <v>182407.34999999957</v>
      </c>
      <c r="O493" s="986" t="s">
        <v>247</v>
      </c>
      <c r="P493" s="987">
        <v>3.2625828724044917E-2</v>
      </c>
      <c r="Q493" s="988">
        <v>167576.77000000066</v>
      </c>
      <c r="R493" s="986" t="s">
        <v>247</v>
      </c>
      <c r="S493" s="987">
        <v>4.0884611410403608E-2</v>
      </c>
      <c r="T493" s="988">
        <v>224884.23999999982</v>
      </c>
      <c r="U493" s="986" t="s">
        <v>247</v>
      </c>
      <c r="V493" s="987">
        <v>7.0948987752552468E-3</v>
      </c>
      <c r="W493" s="988">
        <v>25400.039999999513</v>
      </c>
      <c r="X493" s="986" t="s">
        <v>247</v>
      </c>
      <c r="Y493" s="987">
        <v>3.4797704224136163E-3</v>
      </c>
      <c r="Z493" s="988">
        <v>11377.819999999279</v>
      </c>
      <c r="AA493" s="986" t="s">
        <v>247</v>
      </c>
      <c r="AB493" s="987">
        <v>-2.4412061280567818E-3</v>
      </c>
      <c r="AC493" s="988">
        <v>-7104.3700000003737</v>
      </c>
      <c r="AD493" s="986" t="s">
        <v>247</v>
      </c>
      <c r="AE493" s="987">
        <v>2.3707295784052979E-2</v>
      </c>
      <c r="AF493" s="988">
        <v>128942.57000000021</v>
      </c>
      <c r="AG493" s="986" t="s">
        <v>247</v>
      </c>
      <c r="AH493" s="987">
        <v>3.1772472719330432E-2</v>
      </c>
      <c r="AI493" s="988">
        <v>127828.12999999983</v>
      </c>
      <c r="AJ493" s="986" t="s">
        <v>247</v>
      </c>
      <c r="AK493" s="987">
        <v>3.9806846875306258E-2</v>
      </c>
      <c r="AL493" s="988">
        <v>195487.83999999941</v>
      </c>
      <c r="AM493" s="986" t="s">
        <v>247</v>
      </c>
      <c r="AN493" s="987">
        <v>2.8272462994784085E-3</v>
      </c>
      <c r="AO493" s="988">
        <v>12039.989999999714</v>
      </c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>
        <f t="shared" ref="A494:A500" si="10">B494</f>
        <v>0</v>
      </c>
      <c r="B494" s="655"/>
      <c r="C494" s="947"/>
      <c r="D494" s="948"/>
      <c r="E494" s="954"/>
      <c r="F494" s="947"/>
      <c r="G494" s="948"/>
      <c r="H494" s="954"/>
      <c r="I494" s="947"/>
      <c r="J494" s="948"/>
      <c r="K494" s="954"/>
      <c r="L494" s="947"/>
      <c r="M494" s="948"/>
      <c r="N494" s="954"/>
      <c r="O494" s="947"/>
      <c r="P494" s="948"/>
      <c r="Q494" s="954"/>
      <c r="R494" s="947"/>
      <c r="S494" s="948"/>
      <c r="T494" s="954"/>
      <c r="U494" s="947"/>
      <c r="V494" s="948"/>
      <c r="W494" s="954"/>
      <c r="X494" s="947"/>
      <c r="Y494" s="948"/>
      <c r="Z494" s="954"/>
      <c r="AA494" s="947"/>
      <c r="AB494" s="948"/>
      <c r="AC494" s="954"/>
      <c r="AD494" s="947"/>
      <c r="AE494" s="948"/>
      <c r="AF494" s="954"/>
      <c r="AG494" s="947"/>
      <c r="AH494" s="948"/>
      <c r="AI494" s="954"/>
      <c r="AJ494" s="947"/>
      <c r="AK494" s="948"/>
      <c r="AL494" s="954"/>
      <c r="AM494" s="947"/>
      <c r="AN494" s="948"/>
      <c r="AO494" s="954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Amortissement</v>
      </c>
      <c r="B495" s="655" t="s">
        <v>249</v>
      </c>
      <c r="C495" s="989"/>
      <c r="D495" s="820"/>
      <c r="E495" s="954">
        <v>234320.92</v>
      </c>
      <c r="F495" s="989"/>
      <c r="G495" s="820"/>
      <c r="H495" s="954">
        <v>20970</v>
      </c>
      <c r="I495" s="989"/>
      <c r="J495" s="820"/>
      <c r="K495" s="954">
        <v>20970</v>
      </c>
      <c r="L495" s="989"/>
      <c r="M495" s="820"/>
      <c r="N495" s="954">
        <v>20970</v>
      </c>
      <c r="O495" s="989"/>
      <c r="P495" s="820"/>
      <c r="Q495" s="954">
        <v>20970</v>
      </c>
      <c r="R495" s="989"/>
      <c r="S495" s="820"/>
      <c r="T495" s="954">
        <v>20970</v>
      </c>
      <c r="U495" s="989"/>
      <c r="V495" s="820"/>
      <c r="W495" s="954">
        <v>20970</v>
      </c>
      <c r="X495" s="989"/>
      <c r="Y495" s="820"/>
      <c r="Z495" s="954">
        <v>20970</v>
      </c>
      <c r="AA495" s="989"/>
      <c r="AB495" s="820"/>
      <c r="AC495" s="954">
        <v>20970</v>
      </c>
      <c r="AD495" s="989"/>
      <c r="AE495" s="820"/>
      <c r="AF495" s="954">
        <v>20970</v>
      </c>
      <c r="AG495" s="989"/>
      <c r="AH495" s="820"/>
      <c r="AI495" s="954">
        <v>20970</v>
      </c>
      <c r="AJ495" s="989"/>
      <c r="AK495" s="820"/>
      <c r="AL495" s="954">
        <v>20970</v>
      </c>
      <c r="AM495" s="989"/>
      <c r="AN495" s="820"/>
      <c r="AO495" s="954">
        <v>3650.92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marge</v>
      </c>
      <c r="B496" s="655" t="s">
        <v>250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prêt</v>
      </c>
      <c r="B497" s="655" t="s">
        <v>251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Intérêts sur avance</v>
      </c>
      <c r="B498" s="656" t="s">
        <v>252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[...]</v>
      </c>
      <c r="B499" s="656" t="s">
        <v>42</v>
      </c>
      <c r="C499" s="991"/>
      <c r="D499" s="871"/>
      <c r="E499" s="946">
        <v>0</v>
      </c>
      <c r="F499" s="991"/>
      <c r="G499" s="871"/>
      <c r="H499" s="946">
        <v>0</v>
      </c>
      <c r="I499" s="991"/>
      <c r="J499" s="871"/>
      <c r="K499" s="946">
        <v>0</v>
      </c>
      <c r="L499" s="991"/>
      <c r="M499" s="871"/>
      <c r="N499" s="946">
        <v>0</v>
      </c>
      <c r="O499" s="991"/>
      <c r="P499" s="871"/>
      <c r="Q499" s="946">
        <v>0</v>
      </c>
      <c r="R499" s="991"/>
      <c r="S499" s="871"/>
      <c r="T499" s="946">
        <v>0</v>
      </c>
      <c r="U499" s="991"/>
      <c r="V499" s="871"/>
      <c r="W499" s="946">
        <v>0</v>
      </c>
      <c r="X499" s="991"/>
      <c r="Y499" s="871"/>
      <c r="Z499" s="946">
        <v>0</v>
      </c>
      <c r="AA499" s="991"/>
      <c r="AB499" s="871"/>
      <c r="AC499" s="946">
        <v>0</v>
      </c>
      <c r="AD499" s="991"/>
      <c r="AE499" s="871"/>
      <c r="AF499" s="946">
        <v>0</v>
      </c>
      <c r="AG499" s="991"/>
      <c r="AH499" s="871"/>
      <c r="AI499" s="946">
        <v>0</v>
      </c>
      <c r="AJ499" s="991"/>
      <c r="AK499" s="871"/>
      <c r="AL499" s="946">
        <v>0</v>
      </c>
      <c r="AM499" s="991"/>
      <c r="AN499" s="871"/>
      <c r="AO499" s="946">
        <v>0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Revenus d'intérêts Floor plan</v>
      </c>
      <c r="B500" s="657" t="s">
        <v>2940</v>
      </c>
      <c r="C500" s="991"/>
      <c r="D500" s="871"/>
      <c r="E500" s="946">
        <v>-69462.67</v>
      </c>
      <c r="F500" s="991"/>
      <c r="G500" s="871"/>
      <c r="H500" s="946">
        <v>-9912.02</v>
      </c>
      <c r="I500" s="991"/>
      <c r="J500" s="871"/>
      <c r="K500" s="946">
        <v>-6952.87</v>
      </c>
      <c r="L500" s="991"/>
      <c r="M500" s="871"/>
      <c r="N500" s="946">
        <v>-7344.29</v>
      </c>
      <c r="O500" s="991"/>
      <c r="P500" s="871"/>
      <c r="Q500" s="946">
        <v>-7075.41</v>
      </c>
      <c r="R500" s="991"/>
      <c r="S500" s="871"/>
      <c r="T500" s="946">
        <v>-7311.25</v>
      </c>
      <c r="U500" s="991"/>
      <c r="V500" s="871"/>
      <c r="W500" s="946">
        <v>-6915.57</v>
      </c>
      <c r="X500" s="991"/>
      <c r="Y500" s="871"/>
      <c r="Z500" s="946">
        <v>-5954.65</v>
      </c>
      <c r="AA500" s="991"/>
      <c r="AB500" s="871"/>
      <c r="AC500" s="946">
        <v>-3748.53</v>
      </c>
      <c r="AD500" s="991"/>
      <c r="AE500" s="871"/>
      <c r="AF500" s="946">
        <v>-2916.39</v>
      </c>
      <c r="AG500" s="991"/>
      <c r="AH500" s="871"/>
      <c r="AI500" s="946">
        <v>-3379.51</v>
      </c>
      <c r="AJ500" s="991"/>
      <c r="AK500" s="871"/>
      <c r="AL500" s="946">
        <v>-3007.92</v>
      </c>
      <c r="AM500" s="991"/>
      <c r="AN500" s="871"/>
      <c r="AO500" s="946">
        <v>-4944.26</v>
      </c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42</v>
      </c>
      <c r="C501" s="992"/>
      <c r="D501" s="993"/>
      <c r="E501" s="994"/>
      <c r="F501" s="992"/>
      <c r="G501" s="993"/>
      <c r="H501" s="994">
        <v>0</v>
      </c>
      <c r="I501" s="992"/>
      <c r="J501" s="993"/>
      <c r="K501" s="994">
        <v>0</v>
      </c>
      <c r="L501" s="992"/>
      <c r="M501" s="993"/>
      <c r="N501" s="994">
        <v>0</v>
      </c>
      <c r="O501" s="992"/>
      <c r="P501" s="993"/>
      <c r="Q501" s="994">
        <v>0</v>
      </c>
      <c r="R501" s="992"/>
      <c r="S501" s="993"/>
      <c r="T501" s="994">
        <v>0</v>
      </c>
      <c r="U501" s="992"/>
      <c r="V501" s="993"/>
      <c r="W501" s="994">
        <v>0</v>
      </c>
      <c r="X501" s="992"/>
      <c r="Y501" s="993"/>
      <c r="Z501" s="994">
        <v>0</v>
      </c>
      <c r="AA501" s="992"/>
      <c r="AB501" s="993"/>
      <c r="AC501" s="994">
        <v>0</v>
      </c>
      <c r="AD501" s="992"/>
      <c r="AE501" s="993"/>
      <c r="AF501" s="994">
        <v>0</v>
      </c>
      <c r="AG501" s="992"/>
      <c r="AH501" s="993"/>
      <c r="AI501" s="994">
        <v>0</v>
      </c>
      <c r="AJ501" s="992"/>
      <c r="AK501" s="993"/>
      <c r="AL501" s="994">
        <v>0</v>
      </c>
      <c r="AM501" s="992"/>
      <c r="AN501" s="993"/>
      <c r="AO501" s="994">
        <v>0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 t="s">
        <v>253</v>
      </c>
      <c r="C502" s="523" t="s">
        <v>247</v>
      </c>
      <c r="D502" s="523">
        <v>1.5201811489845759E-2</v>
      </c>
      <c r="E502" s="523">
        <v>708912.46999999741</v>
      </c>
      <c r="F502" s="523" t="s">
        <v>247</v>
      </c>
      <c r="G502" s="523">
        <v>9.0147187851284342E-3</v>
      </c>
      <c r="H502" s="523">
        <v>-101621.15999999935</v>
      </c>
      <c r="I502" s="523" t="s">
        <v>247</v>
      </c>
      <c r="J502" s="523">
        <v>1.0090147187851299</v>
      </c>
      <c r="K502" s="523">
        <v>-118523.61000000032</v>
      </c>
      <c r="L502" s="523" t="s">
        <v>247</v>
      </c>
      <c r="M502" s="523">
        <v>1.0090147187851299</v>
      </c>
      <c r="N502" s="523">
        <v>168781.63999999958</v>
      </c>
      <c r="O502" s="523" t="s">
        <v>247</v>
      </c>
      <c r="P502" s="523">
        <v>1.0090147187851299</v>
      </c>
      <c r="Q502" s="523">
        <v>153682.18000000066</v>
      </c>
      <c r="R502" s="523" t="s">
        <v>247</v>
      </c>
      <c r="S502" s="523">
        <v>2.0090147187851302</v>
      </c>
      <c r="T502" s="523">
        <v>211225.48999999982</v>
      </c>
      <c r="U502" s="523" t="s">
        <v>247</v>
      </c>
      <c r="V502" s="523">
        <v>3.0090147187851302</v>
      </c>
      <c r="W502" s="523">
        <v>11345.609999999513</v>
      </c>
      <c r="X502" s="523" t="s">
        <v>247</v>
      </c>
      <c r="Y502" s="523">
        <v>3.0090147187851302</v>
      </c>
      <c r="Z502" s="523">
        <v>-3637.530000000721</v>
      </c>
      <c r="AA502" s="523" t="s">
        <v>247</v>
      </c>
      <c r="AB502" s="523">
        <v>3.0090147187851302</v>
      </c>
      <c r="AC502" s="523">
        <v>-24325.840000000375</v>
      </c>
      <c r="AD502" s="523" t="s">
        <v>247</v>
      </c>
      <c r="AE502" s="523">
        <v>3.0090147187851302</v>
      </c>
      <c r="AF502" s="523">
        <v>110888.96000000021</v>
      </c>
      <c r="AG502" s="523" t="s">
        <v>247</v>
      </c>
      <c r="AH502" s="523">
        <v>3.0090147187851302</v>
      </c>
      <c r="AI502" s="523">
        <v>110237.63999999982</v>
      </c>
      <c r="AJ502" s="523" t="s">
        <v>247</v>
      </c>
      <c r="AK502" s="523">
        <v>3.0090147187851302</v>
      </c>
      <c r="AL502" s="523">
        <v>177525.75999999943</v>
      </c>
      <c r="AM502" s="523" t="s">
        <v>247</v>
      </c>
      <c r="AN502" s="523">
        <v>3.0090147187851302</v>
      </c>
      <c r="AO502" s="523">
        <v>13333.329999999714</v>
      </c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zoomScale="80" zoomScaleNormal="80" workbookViewId="0">
      <selection activeCell="M13" sqref="M13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7" customWidth="1"/>
    <col min="21" max="16384" width="11" style="996"/>
  </cols>
  <sheetData>
    <row r="1" spans="1:24" ht="31.5">
      <c r="A1" s="995" t="s">
        <v>2310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2937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FORECAST</v>
      </c>
      <c r="M3" s="1000" t="str">
        <f>+IF(VLOOKUP(M2,Parametres!$L$3:$N$14,3,0)="X","REEL","FORECAST")</f>
        <v>FORECAST</v>
      </c>
      <c r="N3" s="1000" t="str">
        <f>+IF(VLOOKUP(N2,Parametres!$L$3:$N$14,3,0)="X","REEL","FORECAST")</f>
        <v>FORECAST</v>
      </c>
      <c r="O3" s="1000" t="str">
        <f>+IF(VLOOKUP(O2,Parametres!$L$3:$N$14,3,0)="X","REEL","FORECAST")</f>
        <v>FORECAST</v>
      </c>
      <c r="P3" s="1000" t="str">
        <f>+IF(VLOOKUP(P2,Parametres!$L$3:$N$14,3,0)="X","REEL","FORECAST")</f>
        <v>FORECAST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222" t="s">
        <v>2311</v>
      </c>
      <c r="B4" s="1222" t="s">
        <v>2312</v>
      </c>
      <c r="C4" s="1001" t="s">
        <v>2313</v>
      </c>
      <c r="D4" s="1002" t="s">
        <v>2314</v>
      </c>
      <c r="E4" s="1003" t="s">
        <v>2315</v>
      </c>
      <c r="F4" s="1001" t="s">
        <v>2316</v>
      </c>
      <c r="G4" s="1001" t="s">
        <v>2317</v>
      </c>
      <c r="H4" s="1003" t="s">
        <v>2318</v>
      </c>
      <c r="I4" s="1001" t="s">
        <v>2319</v>
      </c>
      <c r="J4" s="1001" t="s">
        <v>2320</v>
      </c>
      <c r="K4" s="1001" t="s">
        <v>2321</v>
      </c>
      <c r="L4" s="1001" t="s">
        <v>2322</v>
      </c>
      <c r="M4" s="1001" t="s">
        <v>2323</v>
      </c>
      <c r="N4" s="1001" t="s">
        <v>2324</v>
      </c>
      <c r="O4" s="1001" t="s">
        <v>2325</v>
      </c>
      <c r="P4" s="1001" t="s">
        <v>2326</v>
      </c>
      <c r="Q4" s="1001" t="s">
        <v>2327</v>
      </c>
      <c r="R4" s="1001" t="s">
        <v>2328</v>
      </c>
      <c r="S4" s="1001" t="s">
        <v>2329</v>
      </c>
      <c r="T4" s="1004" t="s">
        <v>2330</v>
      </c>
    </row>
    <row r="5" spans="1:24" ht="30" customHeight="1" thickBot="1">
      <c r="A5" s="1223"/>
      <c r="B5" s="1223"/>
      <c r="C5" s="1224" t="s">
        <v>1995</v>
      </c>
      <c r="D5" s="1225"/>
      <c r="E5" s="1006">
        <f t="shared" ref="E5:S5" si="0">+SUM(E6:E40)</f>
        <v>130039.14</v>
      </c>
      <c r="F5" s="1007">
        <f t="shared" si="0"/>
        <v>233000</v>
      </c>
      <c r="G5" s="1008">
        <f t="shared" si="0"/>
        <v>-102960.86</v>
      </c>
      <c r="H5" s="1009">
        <f t="shared" si="0"/>
        <v>120701.21</v>
      </c>
      <c r="I5" s="1010">
        <f t="shared" si="0"/>
        <v>4893.17</v>
      </c>
      <c r="J5" s="1010">
        <f t="shared" si="0"/>
        <v>3886.16</v>
      </c>
      <c r="K5" s="1010">
        <f t="shared" si="0"/>
        <v>558.6</v>
      </c>
      <c r="L5" s="1010">
        <f t="shared" si="0"/>
        <v>0</v>
      </c>
      <c r="M5" s="1010">
        <f t="shared" si="0"/>
        <v>0</v>
      </c>
      <c r="N5" s="1010">
        <f t="shared" si="0"/>
        <v>0</v>
      </c>
      <c r="O5" s="1010">
        <f t="shared" si="0"/>
        <v>0</v>
      </c>
      <c r="P5" s="1010">
        <f t="shared" si="0"/>
        <v>0</v>
      </c>
      <c r="Q5" s="1010">
        <f t="shared" si="0"/>
        <v>0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176" t="s">
        <v>2842</v>
      </c>
      <c r="D6" s="1014"/>
      <c r="E6" s="1015">
        <f>+SUM(H6:S6)</f>
        <v>3155.1</v>
      </c>
      <c r="F6" s="1015">
        <v>10000</v>
      </c>
      <c r="G6" s="1015">
        <f>+E6-F6</f>
        <v>-6844.9</v>
      </c>
      <c r="H6" s="1016"/>
      <c r="I6" s="1015">
        <v>1139.3399999999999</v>
      </c>
      <c r="J6" s="1015">
        <v>1457.16</v>
      </c>
      <c r="K6" s="1015">
        <v>558.6</v>
      </c>
      <c r="L6" s="1015"/>
      <c r="M6" s="1015"/>
      <c r="N6" s="1015"/>
      <c r="O6" s="1015"/>
      <c r="P6" s="1015"/>
      <c r="Q6" s="1015"/>
      <c r="R6" s="1015"/>
      <c r="S6" s="1015"/>
      <c r="T6" s="1036"/>
      <c r="X6" s="996" t="s">
        <v>51</v>
      </c>
    </row>
    <row r="7" spans="1:24" ht="30" customHeight="1">
      <c r="A7" s="1017" t="str">
        <f>+Parametres!$B$1</f>
        <v>BMW Sherbrooke</v>
      </c>
      <c r="B7" s="1018" t="s">
        <v>2155</v>
      </c>
      <c r="C7" s="1176" t="s">
        <v>2840</v>
      </c>
      <c r="D7" s="1014"/>
      <c r="E7" s="1016">
        <f t="shared" ref="E7:E40" si="1">+SUM(H7:S7)</f>
        <v>0</v>
      </c>
      <c r="F7" s="1015">
        <v>25000</v>
      </c>
      <c r="G7" s="1015">
        <f t="shared" ref="G7:G40" si="2">+E7-F7</f>
        <v>-25000</v>
      </c>
      <c r="H7" s="1016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015"/>
      <c r="T7" s="1017"/>
      <c r="X7" s="996" t="s">
        <v>53</v>
      </c>
    </row>
    <row r="8" spans="1:24" ht="55.5" customHeight="1">
      <c r="A8" s="1017" t="str">
        <f>+Parametres!$B$1</f>
        <v>BMW Sherbrooke</v>
      </c>
      <c r="B8" s="1018" t="s">
        <v>2155</v>
      </c>
      <c r="C8" s="1176" t="s">
        <v>2841</v>
      </c>
      <c r="D8" s="1014"/>
      <c r="E8" s="1016">
        <f>+SUM(H8:S8)</f>
        <v>3958.9</v>
      </c>
      <c r="F8" s="1015">
        <v>20000</v>
      </c>
      <c r="G8" s="1015">
        <f t="shared" si="2"/>
        <v>-16041.1</v>
      </c>
      <c r="H8" s="1016">
        <v>1000</v>
      </c>
      <c r="I8" s="1015">
        <v>1672.9</v>
      </c>
      <c r="J8" s="1015">
        <v>1286</v>
      </c>
      <c r="K8" s="1015"/>
      <c r="L8" s="1015"/>
      <c r="M8" s="1015"/>
      <c r="N8" s="1015"/>
      <c r="O8" s="1015"/>
      <c r="P8" s="1015"/>
      <c r="Q8" s="1015"/>
      <c r="R8" s="1015"/>
      <c r="S8" s="1015"/>
      <c r="T8" s="1017"/>
      <c r="X8" s="996" t="s">
        <v>55</v>
      </c>
    </row>
    <row r="9" spans="1:24" ht="30" customHeight="1">
      <c r="A9" s="1017" t="str">
        <f>+Parametres!$B$1</f>
        <v>BMW Sherbrooke</v>
      </c>
      <c r="B9" s="1018" t="s">
        <v>2155</v>
      </c>
      <c r="C9" s="1176" t="s">
        <v>2839</v>
      </c>
      <c r="D9" s="1014"/>
      <c r="E9" s="1016">
        <f t="shared" si="1"/>
        <v>109701.21</v>
      </c>
      <c r="F9" s="1015">
        <v>150000</v>
      </c>
      <c r="G9" s="1015">
        <f t="shared" si="2"/>
        <v>-40298.789999999994</v>
      </c>
      <c r="H9" s="1016">
        <v>109701.21</v>
      </c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T9" s="1017"/>
      <c r="X9" s="996" t="s">
        <v>57</v>
      </c>
    </row>
    <row r="10" spans="1:24" ht="30" customHeight="1">
      <c r="A10" s="1017" t="str">
        <f>+Parametres!$B$1</f>
        <v>BMW Sherbrooke</v>
      </c>
      <c r="B10" s="1018" t="s">
        <v>2155</v>
      </c>
      <c r="C10" s="1176" t="s">
        <v>2933</v>
      </c>
      <c r="D10" s="1014"/>
      <c r="E10" s="1016">
        <f t="shared" si="1"/>
        <v>0</v>
      </c>
      <c r="F10" s="1015">
        <v>10000</v>
      </c>
      <c r="G10" s="1015">
        <f t="shared" si="2"/>
        <v>-10000</v>
      </c>
      <c r="H10" s="1016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7"/>
      <c r="X10" s="996" t="s">
        <v>58</v>
      </c>
    </row>
    <row r="11" spans="1:24" ht="30" customHeight="1">
      <c r="A11" s="1017" t="str">
        <f>+Parametres!$B$1</f>
        <v>BMW Sherbrooke</v>
      </c>
      <c r="B11" s="1018" t="s">
        <v>2155</v>
      </c>
      <c r="C11" s="1177" t="s">
        <v>2934</v>
      </c>
      <c r="D11" s="1014"/>
      <c r="E11" s="1016">
        <f t="shared" si="1"/>
        <v>10000</v>
      </c>
      <c r="F11" s="1015">
        <v>10000</v>
      </c>
      <c r="G11" s="1015">
        <f t="shared" si="2"/>
        <v>0</v>
      </c>
      <c r="H11" s="1016">
        <v>10000</v>
      </c>
      <c r="I11" s="1015"/>
      <c r="J11" s="1015"/>
      <c r="K11" s="1015"/>
      <c r="L11" s="1015"/>
      <c r="M11" s="1015"/>
      <c r="N11" s="1015"/>
      <c r="O11" s="1015"/>
      <c r="P11" s="1015"/>
      <c r="Q11" s="1015"/>
      <c r="R11" s="1015"/>
      <c r="S11" s="1015"/>
      <c r="T11" s="1017"/>
      <c r="X11" s="996" t="s">
        <v>59</v>
      </c>
    </row>
    <row r="12" spans="1:24" ht="30" customHeight="1">
      <c r="A12" s="1017" t="str">
        <f>+Parametres!$B$1</f>
        <v>BMW Sherbrooke</v>
      </c>
      <c r="B12" s="1018" t="s">
        <v>2155</v>
      </c>
      <c r="C12" s="1177" t="s">
        <v>2935</v>
      </c>
      <c r="D12" s="1014"/>
      <c r="E12" s="1016">
        <f t="shared" si="1"/>
        <v>2496.5</v>
      </c>
      <c r="F12" s="1015">
        <v>6000</v>
      </c>
      <c r="G12" s="1015">
        <f t="shared" si="2"/>
        <v>-3503.5</v>
      </c>
      <c r="H12" s="1016"/>
      <c r="I12" s="1015">
        <v>1353.5</v>
      </c>
      <c r="J12" s="1015">
        <v>1143</v>
      </c>
      <c r="K12" s="1015"/>
      <c r="L12" s="1015"/>
      <c r="M12" s="1015"/>
      <c r="N12" s="1015"/>
      <c r="O12" s="1015"/>
      <c r="P12" s="1015"/>
      <c r="Q12" s="1015"/>
      <c r="R12" s="1015"/>
      <c r="S12" s="1015"/>
      <c r="T12" s="1017"/>
      <c r="X12" s="996" t="s">
        <v>60</v>
      </c>
    </row>
    <row r="13" spans="1:24" ht="30" customHeight="1">
      <c r="A13" s="1017" t="str">
        <f>+Parametres!$B$1</f>
        <v>BMW Sherbrooke</v>
      </c>
      <c r="B13" s="1018" t="s">
        <v>2155</v>
      </c>
      <c r="C13" s="1178" t="s">
        <v>2936</v>
      </c>
      <c r="D13" s="1014"/>
      <c r="E13" s="1016">
        <f t="shared" si="1"/>
        <v>0</v>
      </c>
      <c r="F13" s="1015">
        <v>2000</v>
      </c>
      <c r="G13" s="1015">
        <f t="shared" si="2"/>
        <v>-2000</v>
      </c>
      <c r="H13" s="1016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7"/>
      <c r="X13" s="996" t="s">
        <v>62</v>
      </c>
    </row>
    <row r="14" spans="1:24" ht="30" customHeight="1">
      <c r="A14" s="1017" t="str">
        <f>+Parametres!$B$1</f>
        <v>BMW Sherbrooke</v>
      </c>
      <c r="B14" s="1018"/>
      <c r="C14" s="1200" t="s">
        <v>2961</v>
      </c>
      <c r="D14" s="1050"/>
      <c r="E14" s="1016">
        <f t="shared" si="1"/>
        <v>727.43</v>
      </c>
      <c r="F14" s="1015"/>
      <c r="G14" s="1015">
        <f t="shared" si="2"/>
        <v>727.43</v>
      </c>
      <c r="H14" s="1016"/>
      <c r="I14" s="1015">
        <v>727.43</v>
      </c>
      <c r="J14" s="1015"/>
      <c r="K14" s="1015"/>
      <c r="L14" s="1015"/>
      <c r="M14" s="1015"/>
      <c r="N14" s="1015"/>
      <c r="O14" s="1015"/>
      <c r="P14" s="1015"/>
      <c r="Q14" s="1015"/>
      <c r="R14" s="1015"/>
      <c r="S14" s="1015"/>
      <c r="T14" s="1017"/>
    </row>
    <row r="15" spans="1:24" ht="30" customHeight="1">
      <c r="A15" s="1017" t="str">
        <f>+Parametres!$B$1</f>
        <v>BMW Sherbrooke</v>
      </c>
      <c r="B15" s="1018"/>
      <c r="C15" s="1172"/>
      <c r="D15" s="1014"/>
      <c r="E15" s="1016">
        <f t="shared" si="1"/>
        <v>0</v>
      </c>
      <c r="F15" s="1015"/>
      <c r="G15" s="1015">
        <f t="shared" si="2"/>
        <v>0</v>
      </c>
      <c r="H15" s="1016"/>
      <c r="I15" s="1015"/>
      <c r="J15" s="1015"/>
      <c r="K15" s="1015"/>
      <c r="L15" s="1015"/>
      <c r="M15" s="1015"/>
      <c r="N15" s="1015"/>
      <c r="O15" s="1015"/>
      <c r="P15" s="1015"/>
      <c r="Q15" s="1015"/>
      <c r="R15" s="1015"/>
      <c r="S15" s="1015"/>
      <c r="T15" s="1017"/>
    </row>
    <row r="16" spans="1:24" ht="30" customHeight="1">
      <c r="A16" s="1017" t="str">
        <f>+Parametres!$B$1</f>
        <v>BMW Sherbrooke</v>
      </c>
      <c r="B16" s="1018"/>
      <c r="C16" s="1019"/>
      <c r="D16" s="1014"/>
      <c r="E16" s="1016">
        <f t="shared" si="1"/>
        <v>0</v>
      </c>
      <c r="F16" s="1015"/>
      <c r="G16" s="1015">
        <f t="shared" si="2"/>
        <v>0</v>
      </c>
      <c r="H16" s="1016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7"/>
    </row>
    <row r="17" spans="1:20" ht="30" customHeight="1">
      <c r="A17" s="1017" t="str">
        <f>+Parametres!$B$1</f>
        <v>BMW Sherbrooke</v>
      </c>
      <c r="B17" s="1018"/>
      <c r="C17" s="1019"/>
      <c r="D17" s="1014"/>
      <c r="E17" s="1016">
        <f t="shared" si="1"/>
        <v>0</v>
      </c>
      <c r="F17" s="1015"/>
      <c r="G17" s="1015">
        <f t="shared" si="2"/>
        <v>0</v>
      </c>
      <c r="H17" s="1016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7"/>
    </row>
    <row r="18" spans="1:20" ht="30" customHeight="1">
      <c r="A18" s="1017" t="str">
        <f>+Parametres!$B$1</f>
        <v>BMW Sherbrooke</v>
      </c>
      <c r="B18" s="1018"/>
      <c r="C18" s="1019"/>
      <c r="D18" s="1014"/>
      <c r="E18" s="1016">
        <f t="shared" si="1"/>
        <v>0</v>
      </c>
      <c r="F18" s="1015"/>
      <c r="G18" s="1015">
        <f t="shared" si="2"/>
        <v>0</v>
      </c>
      <c r="H18" s="1016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7"/>
    </row>
    <row r="19" spans="1:20" ht="30" customHeight="1">
      <c r="A19" s="1017" t="str">
        <f>+Parametres!$B$1</f>
        <v>BMW Sherbrooke</v>
      </c>
      <c r="B19" s="1018"/>
      <c r="C19" s="1019"/>
      <c r="D19" s="1014"/>
      <c r="E19" s="1016">
        <f t="shared" si="1"/>
        <v>0</v>
      </c>
      <c r="F19" s="1015"/>
      <c r="G19" s="1015">
        <f t="shared" si="2"/>
        <v>0</v>
      </c>
      <c r="H19" s="1016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7"/>
    </row>
    <row r="20" spans="1:20" ht="30" customHeight="1">
      <c r="A20" s="1017" t="str">
        <f>+Parametres!$B$1</f>
        <v>BMW Sherbrooke</v>
      </c>
      <c r="B20" s="1018"/>
      <c r="C20" s="1019"/>
      <c r="D20" s="1014"/>
      <c r="E20" s="1016">
        <f t="shared" si="1"/>
        <v>0</v>
      </c>
      <c r="F20" s="1015"/>
      <c r="G20" s="1015">
        <f t="shared" si="2"/>
        <v>0</v>
      </c>
      <c r="H20" s="1016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7"/>
    </row>
    <row r="21" spans="1:20" ht="30" customHeight="1">
      <c r="A21" s="1017" t="str">
        <f>+Parametres!$B$1</f>
        <v>BMW Sherbrooke</v>
      </c>
      <c r="B21" s="1018"/>
      <c r="C21" s="1019"/>
      <c r="D21" s="1014"/>
      <c r="E21" s="1016">
        <f t="shared" si="1"/>
        <v>0</v>
      </c>
      <c r="F21" s="1015"/>
      <c r="G21" s="1015">
        <f t="shared" si="2"/>
        <v>0</v>
      </c>
      <c r="H21" s="1016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7"/>
    </row>
    <row r="22" spans="1:20" ht="30" customHeight="1">
      <c r="A22" s="1017" t="str">
        <f>+Parametres!$B$1</f>
        <v>BMW Sherbrooke</v>
      </c>
      <c r="B22" s="1018"/>
      <c r="C22" s="1019"/>
      <c r="D22" s="1014"/>
      <c r="E22" s="1016">
        <f t="shared" si="1"/>
        <v>0</v>
      </c>
      <c r="F22" s="1015"/>
      <c r="G22" s="1015">
        <f t="shared" si="2"/>
        <v>0</v>
      </c>
      <c r="H22" s="1016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7"/>
    </row>
    <row r="23" spans="1:20" ht="30" customHeight="1">
      <c r="A23" s="1017" t="str">
        <f>+Parametres!$B$1</f>
        <v>BMW Sherbrooke</v>
      </c>
      <c r="B23" s="1018"/>
      <c r="C23" s="1019"/>
      <c r="D23" s="1014"/>
      <c r="E23" s="1016">
        <f t="shared" si="1"/>
        <v>0</v>
      </c>
      <c r="F23" s="1015"/>
      <c r="G23" s="1015">
        <f t="shared" si="2"/>
        <v>0</v>
      </c>
      <c r="H23" s="1016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7"/>
    </row>
    <row r="24" spans="1:20" ht="30" customHeight="1">
      <c r="A24" s="1017" t="str">
        <f>+Parametres!$B$1</f>
        <v>BMW Sherbrooke</v>
      </c>
      <c r="B24" s="1018"/>
      <c r="C24" s="1019"/>
      <c r="D24" s="1014"/>
      <c r="E24" s="1016">
        <f t="shared" si="1"/>
        <v>0</v>
      </c>
      <c r="F24" s="1015"/>
      <c r="G24" s="1015">
        <f t="shared" si="2"/>
        <v>0</v>
      </c>
      <c r="H24" s="1016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7"/>
    </row>
    <row r="25" spans="1:20" ht="30" customHeight="1">
      <c r="A25" s="1017" t="str">
        <f>+Parametres!$B$1</f>
        <v>BMW Sherbrooke</v>
      </c>
      <c r="B25" s="1018"/>
      <c r="C25" s="1019"/>
      <c r="D25" s="1014"/>
      <c r="E25" s="1016">
        <f t="shared" si="1"/>
        <v>0</v>
      </c>
      <c r="F25" s="1015"/>
      <c r="G25" s="1015">
        <f t="shared" si="2"/>
        <v>0</v>
      </c>
      <c r="H25" s="1016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7"/>
    </row>
    <row r="26" spans="1:20" ht="30" customHeight="1">
      <c r="A26" s="1017" t="str">
        <f>+Parametres!$B$1</f>
        <v>BMW Sherbrooke</v>
      </c>
      <c r="B26" s="1018"/>
      <c r="C26" s="1019"/>
      <c r="D26" s="1014"/>
      <c r="E26" s="1016">
        <f t="shared" si="1"/>
        <v>0</v>
      </c>
      <c r="F26" s="1015"/>
      <c r="G26" s="1015">
        <f t="shared" si="2"/>
        <v>0</v>
      </c>
      <c r="H26" s="1016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7"/>
    </row>
    <row r="27" spans="1:20" ht="30" customHeight="1">
      <c r="A27" s="1017" t="str">
        <f>+Parametres!$B$1</f>
        <v>BMW Sherbrooke</v>
      </c>
      <c r="B27" s="1018"/>
      <c r="C27" s="1019"/>
      <c r="D27" s="1014"/>
      <c r="E27" s="1016">
        <f t="shared" si="1"/>
        <v>0</v>
      </c>
      <c r="F27" s="1015"/>
      <c r="G27" s="1015">
        <f t="shared" si="2"/>
        <v>0</v>
      </c>
      <c r="H27" s="1016"/>
      <c r="I27" s="1015"/>
      <c r="J27" s="1015"/>
      <c r="K27" s="1015"/>
      <c r="L27" s="1015"/>
      <c r="M27" s="1015"/>
      <c r="N27" s="1015"/>
      <c r="O27" s="1015"/>
      <c r="P27" s="1015"/>
      <c r="Q27" s="1015"/>
      <c r="R27" s="1015"/>
      <c r="S27" s="1015"/>
      <c r="T27" s="1017"/>
    </row>
    <row r="28" spans="1:20" ht="30" customHeight="1">
      <c r="A28" s="1017" t="str">
        <f>+Parametres!$B$1</f>
        <v>BMW Sherbrooke</v>
      </c>
      <c r="B28" s="1018"/>
      <c r="C28" s="1019"/>
      <c r="D28" s="1014"/>
      <c r="E28" s="1016">
        <f t="shared" si="1"/>
        <v>0</v>
      </c>
      <c r="F28" s="1015"/>
      <c r="G28" s="1015">
        <f t="shared" si="2"/>
        <v>0</v>
      </c>
      <c r="H28" s="1016"/>
      <c r="I28" s="1015"/>
      <c r="J28" s="1015"/>
      <c r="K28" s="1015"/>
      <c r="L28" s="1015"/>
      <c r="M28" s="1015"/>
      <c r="N28" s="1015"/>
      <c r="O28" s="1015"/>
      <c r="P28" s="1015"/>
      <c r="Q28" s="1015"/>
      <c r="R28" s="1015"/>
      <c r="S28" s="1015"/>
      <c r="T28" s="1017"/>
    </row>
    <row r="29" spans="1:20" ht="30" customHeight="1">
      <c r="A29" s="1017" t="str">
        <f>+Parametres!$B$1</f>
        <v>BMW Sherbrooke</v>
      </c>
      <c r="B29" s="1018"/>
      <c r="C29" s="1019"/>
      <c r="D29" s="1014"/>
      <c r="E29" s="1016">
        <f t="shared" si="1"/>
        <v>0</v>
      </c>
      <c r="F29" s="1015"/>
      <c r="G29" s="1015">
        <f t="shared" si="2"/>
        <v>0</v>
      </c>
      <c r="H29" s="1016"/>
      <c r="I29" s="1015"/>
      <c r="J29" s="1015"/>
      <c r="K29" s="1015"/>
      <c r="L29" s="1015"/>
      <c r="M29" s="1015"/>
      <c r="N29" s="1015"/>
      <c r="O29" s="1015"/>
      <c r="P29" s="1015"/>
      <c r="Q29" s="1015"/>
      <c r="R29" s="1015"/>
      <c r="S29" s="1015"/>
      <c r="T29" s="1017"/>
    </row>
    <row r="30" spans="1:20" ht="30" customHeight="1">
      <c r="A30" s="1017" t="str">
        <f>+Parametres!$B$1</f>
        <v>BMW Sherbrooke</v>
      </c>
      <c r="B30" s="1018"/>
      <c r="C30" s="1019"/>
      <c r="D30" s="1014"/>
      <c r="E30" s="1016">
        <f t="shared" si="1"/>
        <v>0</v>
      </c>
      <c r="F30" s="1015"/>
      <c r="G30" s="1015">
        <f t="shared" si="2"/>
        <v>0</v>
      </c>
      <c r="H30" s="1016"/>
      <c r="I30" s="1015"/>
      <c r="J30" s="1015"/>
      <c r="K30" s="1015"/>
      <c r="L30" s="1015"/>
      <c r="M30" s="1015"/>
      <c r="N30" s="1015"/>
      <c r="O30" s="1015"/>
      <c r="P30" s="1015"/>
      <c r="Q30" s="1015"/>
      <c r="R30" s="1015"/>
      <c r="S30" s="1015"/>
      <c r="T30" s="1017"/>
    </row>
    <row r="31" spans="1:20" ht="30" customHeight="1">
      <c r="A31" s="1017" t="str">
        <f>+Parametres!$B$1</f>
        <v>BMW Sherbrooke</v>
      </c>
      <c r="B31" s="1018"/>
      <c r="C31" s="1019"/>
      <c r="D31" s="1014"/>
      <c r="E31" s="1016">
        <f t="shared" si="1"/>
        <v>0</v>
      </c>
      <c r="F31" s="1015"/>
      <c r="G31" s="1015">
        <f t="shared" si="2"/>
        <v>0</v>
      </c>
      <c r="H31" s="1016"/>
      <c r="I31" s="1015"/>
      <c r="J31" s="1015"/>
      <c r="K31" s="1015"/>
      <c r="L31" s="1015"/>
      <c r="M31" s="1015"/>
      <c r="N31" s="1015"/>
      <c r="O31" s="1015"/>
      <c r="P31" s="1015"/>
      <c r="Q31" s="1015"/>
      <c r="R31" s="1015"/>
      <c r="S31" s="1015"/>
      <c r="T31" s="1017"/>
    </row>
    <row r="32" spans="1:20" ht="30" customHeight="1">
      <c r="A32" s="1017" t="str">
        <f>+Parametres!$B$1</f>
        <v>BMW Sherbrooke</v>
      </c>
      <c r="B32" s="1018"/>
      <c r="C32" s="1019"/>
      <c r="D32" s="1014"/>
      <c r="E32" s="1016">
        <f t="shared" si="1"/>
        <v>0</v>
      </c>
      <c r="F32" s="1015"/>
      <c r="G32" s="1015">
        <f t="shared" si="2"/>
        <v>0</v>
      </c>
      <c r="H32" s="1016"/>
      <c r="I32" s="1015"/>
      <c r="J32" s="1015"/>
      <c r="K32" s="1015"/>
      <c r="L32" s="1015"/>
      <c r="M32" s="1015"/>
      <c r="N32" s="1015"/>
      <c r="O32" s="1015"/>
      <c r="P32" s="1015"/>
      <c r="Q32" s="1015"/>
      <c r="R32" s="1015"/>
      <c r="S32" s="1015"/>
      <c r="T32" s="1017"/>
    </row>
    <row r="33" spans="1:24" ht="30" customHeight="1">
      <c r="A33" s="1017" t="str">
        <f>+Parametres!$B$1</f>
        <v>BMW Sherbrooke</v>
      </c>
      <c r="B33" s="1018"/>
      <c r="C33" s="1019"/>
      <c r="D33" s="1014"/>
      <c r="E33" s="1016">
        <f t="shared" si="1"/>
        <v>0</v>
      </c>
      <c r="F33" s="1015"/>
      <c r="G33" s="1015">
        <f t="shared" si="2"/>
        <v>0</v>
      </c>
      <c r="H33" s="1016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7"/>
    </row>
    <row r="34" spans="1:24" ht="30" customHeight="1">
      <c r="A34" s="1017" t="str">
        <f>+Parametres!$B$1</f>
        <v>BMW Sherbrooke</v>
      </c>
      <c r="B34" s="1018"/>
      <c r="C34" s="1019"/>
      <c r="D34" s="1014"/>
      <c r="E34" s="1016">
        <f t="shared" si="1"/>
        <v>0</v>
      </c>
      <c r="F34" s="1015"/>
      <c r="G34" s="1015">
        <f t="shared" si="2"/>
        <v>0</v>
      </c>
      <c r="H34" s="1016"/>
      <c r="I34" s="1015"/>
      <c r="J34" s="1015"/>
      <c r="K34" s="1015"/>
      <c r="L34" s="1015"/>
      <c r="M34" s="1015"/>
      <c r="N34" s="1015"/>
      <c r="O34" s="1015"/>
      <c r="P34" s="1015"/>
      <c r="Q34" s="1015"/>
      <c r="R34" s="1015"/>
      <c r="S34" s="1015"/>
      <c r="T34" s="1017"/>
    </row>
    <row r="35" spans="1:24" ht="30" customHeight="1">
      <c r="A35" s="1017" t="str">
        <f>+Parametres!$B$1</f>
        <v>BMW Sherbrooke</v>
      </c>
      <c r="B35" s="1018"/>
      <c r="C35" s="1019"/>
      <c r="D35" s="1014"/>
      <c r="E35" s="1016">
        <f t="shared" si="1"/>
        <v>0</v>
      </c>
      <c r="F35" s="1015"/>
      <c r="G35" s="1015">
        <f t="shared" si="2"/>
        <v>0</v>
      </c>
      <c r="H35" s="1016"/>
      <c r="I35" s="1015"/>
      <c r="J35" s="1015"/>
      <c r="K35" s="1015"/>
      <c r="L35" s="1015"/>
      <c r="M35" s="1015"/>
      <c r="N35" s="1015"/>
      <c r="O35" s="1015"/>
      <c r="P35" s="1015"/>
      <c r="Q35" s="1015"/>
      <c r="R35" s="1015"/>
      <c r="S35" s="1015"/>
      <c r="T35" s="1017"/>
    </row>
    <row r="36" spans="1:24" ht="30" customHeight="1">
      <c r="A36" s="1017" t="str">
        <f>+Parametres!$B$1</f>
        <v>BMW Sherbrooke</v>
      </c>
      <c r="B36" s="1018"/>
      <c r="C36" s="1019"/>
      <c r="D36" s="1014"/>
      <c r="E36" s="1016">
        <f t="shared" si="1"/>
        <v>0</v>
      </c>
      <c r="F36" s="1015"/>
      <c r="G36" s="1015">
        <f t="shared" si="2"/>
        <v>0</v>
      </c>
      <c r="H36" s="1016"/>
      <c r="I36" s="1015"/>
      <c r="J36" s="1015"/>
      <c r="K36" s="1015"/>
      <c r="L36" s="1015"/>
      <c r="M36" s="1015"/>
      <c r="N36" s="1015"/>
      <c r="O36" s="1015"/>
      <c r="P36" s="1015"/>
      <c r="Q36" s="1015"/>
      <c r="R36" s="1015"/>
      <c r="S36" s="1015"/>
      <c r="T36" s="1017"/>
      <c r="X36" s="996" t="s">
        <v>2155</v>
      </c>
    </row>
    <row r="37" spans="1:24" ht="30" customHeight="1">
      <c r="A37" s="1017" t="str">
        <f>+Parametres!$B$1</f>
        <v>BMW Sherbrooke</v>
      </c>
      <c r="B37" s="1018"/>
      <c r="C37" s="1019"/>
      <c r="D37" s="1014"/>
      <c r="E37" s="1016">
        <f t="shared" si="1"/>
        <v>0</v>
      </c>
      <c r="F37" s="1015"/>
      <c r="G37" s="1015">
        <f t="shared" si="2"/>
        <v>0</v>
      </c>
      <c r="H37" s="1016"/>
      <c r="I37" s="1015"/>
      <c r="J37" s="1015"/>
      <c r="K37" s="1015"/>
      <c r="L37" s="1015"/>
      <c r="M37" s="1015"/>
      <c r="N37" s="1015"/>
      <c r="O37" s="1015"/>
      <c r="P37" s="1015"/>
      <c r="Q37" s="1015"/>
      <c r="R37" s="1015"/>
      <c r="S37" s="1015"/>
      <c r="T37" s="1017"/>
      <c r="X37" s="996" t="s">
        <v>2331</v>
      </c>
    </row>
    <row r="38" spans="1:24" ht="30" customHeight="1">
      <c r="A38" s="1017" t="str">
        <f>+Parametres!$B$1</f>
        <v>BMW Sherbrooke</v>
      </c>
      <c r="B38" s="1018"/>
      <c r="C38" s="1019"/>
      <c r="D38" s="1014"/>
      <c r="E38" s="1016">
        <f t="shared" si="1"/>
        <v>0</v>
      </c>
      <c r="F38" s="1015"/>
      <c r="G38" s="1015">
        <f t="shared" si="2"/>
        <v>0</v>
      </c>
      <c r="H38" s="1016"/>
      <c r="I38" s="1015"/>
      <c r="J38" s="1015"/>
      <c r="K38" s="1015"/>
      <c r="L38" s="1015"/>
      <c r="M38" s="1015"/>
      <c r="N38" s="1015"/>
      <c r="O38" s="1015"/>
      <c r="P38" s="1015"/>
      <c r="Q38" s="1015"/>
      <c r="R38" s="1015"/>
      <c r="S38" s="1015"/>
      <c r="T38" s="1017"/>
    </row>
    <row r="39" spans="1:24" ht="30" customHeight="1">
      <c r="A39" s="1017" t="str">
        <f>+Parametres!$B$1</f>
        <v>BMW Sherbrooke</v>
      </c>
      <c r="B39" s="1018"/>
      <c r="C39" s="1019"/>
      <c r="D39" s="1014"/>
      <c r="E39" s="1016">
        <f t="shared" si="1"/>
        <v>0</v>
      </c>
      <c r="F39" s="1015"/>
      <c r="G39" s="1015">
        <f t="shared" si="2"/>
        <v>0</v>
      </c>
      <c r="H39" s="1016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7"/>
    </row>
    <row r="40" spans="1:24" ht="30" customHeight="1" thickBot="1">
      <c r="A40" s="1020" t="str">
        <f>+Parametres!$B$1</f>
        <v>BMW Sherbrooke</v>
      </c>
      <c r="B40" s="1021"/>
      <c r="C40" s="1022"/>
      <c r="D40" s="1023"/>
      <c r="E40" s="1024">
        <f t="shared" si="1"/>
        <v>0</v>
      </c>
      <c r="F40" s="1025"/>
      <c r="G40" s="1025">
        <f t="shared" si="2"/>
        <v>0</v>
      </c>
      <c r="H40" s="1024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0"/>
    </row>
    <row r="42" spans="1:24" ht="30" customHeight="1">
      <c r="C42" s="1026"/>
      <c r="D42" s="1026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2158</v>
      </c>
      <c r="E1" s="781" t="s">
        <v>2159</v>
      </c>
      <c r="F1" s="781" t="s">
        <v>2160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2556</v>
      </c>
      <c r="B2" s="785" t="s">
        <v>2557</v>
      </c>
      <c r="C2" s="785" t="s">
        <v>2558</v>
      </c>
      <c r="D2" s="785" t="s">
        <v>625</v>
      </c>
      <c r="E2" s="1039">
        <v>65121.87</v>
      </c>
      <c r="F2" s="1039">
        <v>-60905.25</v>
      </c>
      <c r="G2" s="785" t="s">
        <v>2559</v>
      </c>
      <c r="H2" s="786">
        <v>478</v>
      </c>
      <c r="K2" s="784" t="s">
        <v>2163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2560</v>
      </c>
      <c r="B3" s="785" t="s">
        <v>2557</v>
      </c>
      <c r="C3" s="785" t="s">
        <v>2558</v>
      </c>
      <c r="D3" s="785" t="s">
        <v>625</v>
      </c>
      <c r="E3" s="1039">
        <v>63963.67</v>
      </c>
      <c r="F3" s="1039"/>
      <c r="G3" s="785" t="s">
        <v>2561</v>
      </c>
      <c r="H3" s="786">
        <v>465</v>
      </c>
      <c r="L3" s="787">
        <f>+COUNT(E2:E10000)</f>
        <v>45</v>
      </c>
    </row>
    <row r="4" spans="1:13">
      <c r="A4" s="785" t="s">
        <v>2562</v>
      </c>
      <c r="B4" s="785" t="s">
        <v>2557</v>
      </c>
      <c r="C4" s="785" t="s">
        <v>2558</v>
      </c>
      <c r="D4" s="785" t="s">
        <v>2563</v>
      </c>
      <c r="E4" s="1039">
        <v>75509.5</v>
      </c>
      <c r="F4" s="1039"/>
      <c r="G4" s="785" t="s">
        <v>2564</v>
      </c>
      <c r="H4" s="786">
        <v>411</v>
      </c>
    </row>
    <row r="5" spans="1:13">
      <c r="A5" s="785" t="s">
        <v>2565</v>
      </c>
      <c r="B5" s="785" t="s">
        <v>2557</v>
      </c>
      <c r="C5" s="785" t="s">
        <v>2566</v>
      </c>
      <c r="D5" s="785" t="s">
        <v>2567</v>
      </c>
      <c r="E5" s="1039">
        <v>84833.61</v>
      </c>
      <c r="F5" s="1039">
        <v>-88452</v>
      </c>
      <c r="G5" s="785" t="s">
        <v>2568</v>
      </c>
      <c r="H5" s="786">
        <v>146</v>
      </c>
    </row>
    <row r="6" spans="1:13">
      <c r="A6" s="785" t="s">
        <v>2569</v>
      </c>
      <c r="B6" s="785" t="s">
        <v>2557</v>
      </c>
      <c r="C6" s="785" t="s">
        <v>2558</v>
      </c>
      <c r="D6" s="785" t="s">
        <v>2570</v>
      </c>
      <c r="E6" s="1039">
        <v>66617.36</v>
      </c>
      <c r="F6" s="1039">
        <v>-69326.25</v>
      </c>
      <c r="G6" s="785" t="s">
        <v>2571</v>
      </c>
      <c r="H6" s="786">
        <v>151</v>
      </c>
    </row>
    <row r="7" spans="1:13">
      <c r="A7" s="785" t="s">
        <v>2572</v>
      </c>
      <c r="B7" s="785" t="s">
        <v>2557</v>
      </c>
      <c r="C7" s="785" t="s">
        <v>2566</v>
      </c>
      <c r="D7" s="785" t="s">
        <v>2567</v>
      </c>
      <c r="E7" s="1039">
        <v>73335.37</v>
      </c>
      <c r="F7" s="1039">
        <v>-69809.25</v>
      </c>
      <c r="G7" s="785" t="s">
        <v>2573</v>
      </c>
      <c r="H7" s="786">
        <v>143</v>
      </c>
    </row>
    <row r="8" spans="1:13">
      <c r="A8" s="785" t="s">
        <v>2574</v>
      </c>
      <c r="B8" s="785" t="s">
        <v>2557</v>
      </c>
      <c r="C8" s="785" t="s">
        <v>2566</v>
      </c>
      <c r="D8" s="785" t="s">
        <v>2575</v>
      </c>
      <c r="E8" s="1039">
        <v>50471.49</v>
      </c>
      <c r="F8" s="1039">
        <v>-50473.5</v>
      </c>
      <c r="G8" s="785" t="s">
        <v>2576</v>
      </c>
      <c r="H8" s="786">
        <v>67</v>
      </c>
    </row>
    <row r="9" spans="1:13">
      <c r="A9" s="785" t="s">
        <v>2577</v>
      </c>
      <c r="B9" s="785" t="s">
        <v>2557</v>
      </c>
      <c r="C9" s="785" t="s">
        <v>2566</v>
      </c>
      <c r="D9" s="785" t="s">
        <v>2575</v>
      </c>
      <c r="E9" s="1039">
        <v>50262.11</v>
      </c>
      <c r="F9" s="1039">
        <v>-52143</v>
      </c>
      <c r="G9" s="785" t="s">
        <v>2578</v>
      </c>
      <c r="H9" s="786">
        <v>58</v>
      </c>
    </row>
    <row r="10" spans="1:13">
      <c r="A10" s="785" t="s">
        <v>2579</v>
      </c>
      <c r="B10" s="785" t="s">
        <v>2580</v>
      </c>
      <c r="C10" s="785" t="s">
        <v>2566</v>
      </c>
      <c r="D10" s="785" t="s">
        <v>2581</v>
      </c>
      <c r="E10" s="1039">
        <v>95266.49</v>
      </c>
      <c r="F10" s="1039">
        <v>-95303.25</v>
      </c>
      <c r="G10" s="785" t="s">
        <v>2582</v>
      </c>
      <c r="H10" s="786">
        <v>158</v>
      </c>
    </row>
    <row r="11" spans="1:13">
      <c r="A11" s="785" t="s">
        <v>2583</v>
      </c>
      <c r="B11" s="785" t="s">
        <v>2580</v>
      </c>
      <c r="C11" s="785" t="s">
        <v>2566</v>
      </c>
      <c r="D11" s="785" t="s">
        <v>2584</v>
      </c>
      <c r="E11" s="1039">
        <v>126612.36</v>
      </c>
      <c r="F11" s="1039">
        <v>-131675.25</v>
      </c>
      <c r="G11" s="785" t="s">
        <v>2585</v>
      </c>
      <c r="H11" s="786">
        <v>149</v>
      </c>
    </row>
    <row r="12" spans="1:13">
      <c r="A12" s="785" t="s">
        <v>2586</v>
      </c>
      <c r="B12" s="785" t="s">
        <v>2580</v>
      </c>
      <c r="C12" s="785" t="s">
        <v>2587</v>
      </c>
      <c r="D12" s="785" t="s">
        <v>2588</v>
      </c>
      <c r="E12" s="1039">
        <v>97633.14</v>
      </c>
      <c r="F12" s="1039">
        <v>-97203.75</v>
      </c>
      <c r="G12" s="785" t="s">
        <v>2589</v>
      </c>
      <c r="H12" s="786">
        <v>152</v>
      </c>
    </row>
    <row r="13" spans="1:13">
      <c r="A13" s="785" t="s">
        <v>2590</v>
      </c>
      <c r="B13" s="785" t="s">
        <v>2580</v>
      </c>
      <c r="C13" s="785" t="s">
        <v>2566</v>
      </c>
      <c r="D13" s="785" t="s">
        <v>2591</v>
      </c>
      <c r="E13" s="1039">
        <v>103328.55</v>
      </c>
      <c r="F13" s="1039">
        <v>-107651.25</v>
      </c>
      <c r="G13" s="785" t="s">
        <v>2592</v>
      </c>
      <c r="H13" s="786">
        <v>144</v>
      </c>
    </row>
    <row r="14" spans="1:13">
      <c r="A14" s="785" t="s">
        <v>2593</v>
      </c>
      <c r="B14" s="785" t="s">
        <v>2580</v>
      </c>
      <c r="C14" s="785" t="s">
        <v>2558</v>
      </c>
      <c r="D14" s="785" t="s">
        <v>2594</v>
      </c>
      <c r="E14" s="1039">
        <v>66533.61</v>
      </c>
      <c r="F14" s="1039">
        <v>-69237</v>
      </c>
      <c r="G14" s="785" t="s">
        <v>2595</v>
      </c>
      <c r="H14" s="786">
        <v>144</v>
      </c>
    </row>
    <row r="15" spans="1:13">
      <c r="A15" s="785" t="s">
        <v>2596</v>
      </c>
      <c r="B15" s="785" t="s">
        <v>2580</v>
      </c>
      <c r="C15" s="785" t="s">
        <v>2587</v>
      </c>
      <c r="D15" s="785" t="s">
        <v>2597</v>
      </c>
      <c r="E15" s="1039">
        <v>159476.47</v>
      </c>
      <c r="F15" s="1039">
        <v>-173664.75</v>
      </c>
      <c r="G15" s="785" t="s">
        <v>2598</v>
      </c>
      <c r="H15" s="786">
        <v>142</v>
      </c>
    </row>
    <row r="16" spans="1:13">
      <c r="A16" s="785" t="s">
        <v>2599</v>
      </c>
      <c r="B16" s="785" t="s">
        <v>2580</v>
      </c>
      <c r="C16" s="785" t="s">
        <v>2558</v>
      </c>
      <c r="D16" s="785" t="s">
        <v>2600</v>
      </c>
      <c r="E16" s="1039">
        <v>62907.21</v>
      </c>
      <c r="F16" s="1039">
        <v>-60149.52</v>
      </c>
      <c r="G16" s="785" t="s">
        <v>2601</v>
      </c>
      <c r="H16" s="786">
        <v>117</v>
      </c>
    </row>
    <row r="17" spans="1:8">
      <c r="A17" s="785" t="s">
        <v>2602</v>
      </c>
      <c r="B17" s="785" t="s">
        <v>2580</v>
      </c>
      <c r="C17" s="785" t="s">
        <v>2558</v>
      </c>
      <c r="D17" s="785" t="s">
        <v>2600</v>
      </c>
      <c r="E17" s="1039">
        <v>68631.759999999995</v>
      </c>
      <c r="F17" s="1039">
        <v>-71326.5</v>
      </c>
      <c r="G17" s="785" t="s">
        <v>2603</v>
      </c>
      <c r="H17" s="786">
        <v>117</v>
      </c>
    </row>
    <row r="18" spans="1:8">
      <c r="A18" s="785" t="s">
        <v>2604</v>
      </c>
      <c r="B18" s="785" t="s">
        <v>2580</v>
      </c>
      <c r="C18" s="785" t="s">
        <v>2558</v>
      </c>
      <c r="D18" s="785" t="s">
        <v>2605</v>
      </c>
      <c r="E18" s="1039">
        <v>100033.61</v>
      </c>
      <c r="F18" s="1039">
        <v>-104328</v>
      </c>
      <c r="G18" s="785" t="s">
        <v>2606</v>
      </c>
      <c r="H18" s="786">
        <v>117</v>
      </c>
    </row>
    <row r="19" spans="1:8">
      <c r="A19" s="785" t="s">
        <v>2607</v>
      </c>
      <c r="B19" s="785" t="s">
        <v>2580</v>
      </c>
      <c r="C19" s="785" t="s">
        <v>2587</v>
      </c>
      <c r="D19" s="785" t="s">
        <v>2608</v>
      </c>
      <c r="E19" s="1039">
        <v>102873.63</v>
      </c>
      <c r="F19" s="1039">
        <v>-107409.75</v>
      </c>
      <c r="G19" s="785" t="s">
        <v>2609</v>
      </c>
      <c r="H19" s="786">
        <v>117</v>
      </c>
    </row>
    <row r="20" spans="1:8">
      <c r="A20" s="785" t="s">
        <v>2610</v>
      </c>
      <c r="B20" s="785" t="s">
        <v>2580</v>
      </c>
      <c r="C20" s="785" t="s">
        <v>2558</v>
      </c>
      <c r="D20" s="785" t="s">
        <v>2611</v>
      </c>
      <c r="E20" s="1039">
        <v>79327.11</v>
      </c>
      <c r="F20" s="1039">
        <v>-82661.25</v>
      </c>
      <c r="G20" s="785" t="s">
        <v>2612</v>
      </c>
      <c r="H20" s="786">
        <v>114</v>
      </c>
    </row>
    <row r="21" spans="1:8">
      <c r="A21" s="785" t="s">
        <v>2613</v>
      </c>
      <c r="B21" s="785" t="s">
        <v>2580</v>
      </c>
      <c r="C21" s="785" t="s">
        <v>2566</v>
      </c>
      <c r="D21" s="785" t="s">
        <v>2567</v>
      </c>
      <c r="E21" s="1039">
        <v>73721.05</v>
      </c>
      <c r="F21" s="1039">
        <v>-72786</v>
      </c>
      <c r="G21" s="785" t="s">
        <v>2614</v>
      </c>
      <c r="H21" s="786">
        <v>101</v>
      </c>
    </row>
    <row r="22" spans="1:8">
      <c r="A22" s="785" t="s">
        <v>2615</v>
      </c>
      <c r="B22" s="785" t="s">
        <v>2580</v>
      </c>
      <c r="C22" s="785" t="s">
        <v>2566</v>
      </c>
      <c r="D22" s="785" t="s">
        <v>2567</v>
      </c>
      <c r="E22" s="1039">
        <v>99958.61</v>
      </c>
      <c r="F22" s="1039">
        <v>-104333.25</v>
      </c>
      <c r="G22" s="785" t="s">
        <v>2616</v>
      </c>
      <c r="H22" s="786">
        <v>93</v>
      </c>
    </row>
    <row r="23" spans="1:8">
      <c r="A23" s="785" t="s">
        <v>2617</v>
      </c>
      <c r="B23" s="785" t="s">
        <v>2580</v>
      </c>
      <c r="C23" s="785" t="s">
        <v>2566</v>
      </c>
      <c r="D23" s="785" t="s">
        <v>2567</v>
      </c>
      <c r="E23" s="1039">
        <v>62153.61</v>
      </c>
      <c r="F23" s="1039">
        <v>-61905</v>
      </c>
      <c r="G23" s="785" t="s">
        <v>2618</v>
      </c>
      <c r="H23" s="786">
        <v>102</v>
      </c>
    </row>
    <row r="24" spans="1:8">
      <c r="A24" s="785" t="s">
        <v>2619</v>
      </c>
      <c r="B24" s="785" t="s">
        <v>2580</v>
      </c>
      <c r="C24" s="785" t="s">
        <v>2566</v>
      </c>
      <c r="D24" s="785" t="s">
        <v>2584</v>
      </c>
      <c r="E24" s="1039">
        <v>131769.5</v>
      </c>
      <c r="F24" s="1039">
        <v>-132239.5</v>
      </c>
      <c r="G24" s="785" t="s">
        <v>2620</v>
      </c>
      <c r="H24" s="786">
        <v>100</v>
      </c>
    </row>
    <row r="25" spans="1:8">
      <c r="A25" s="785" t="s">
        <v>2621</v>
      </c>
      <c r="B25" s="785" t="s">
        <v>2580</v>
      </c>
      <c r="C25" s="785" t="s">
        <v>2558</v>
      </c>
      <c r="D25" s="785" t="s">
        <v>2622</v>
      </c>
      <c r="E25" s="1039">
        <v>150512.10999999999</v>
      </c>
      <c r="F25" s="1039">
        <v>-157405.5</v>
      </c>
      <c r="G25" s="785" t="s">
        <v>2623</v>
      </c>
      <c r="H25" s="786">
        <v>81</v>
      </c>
    </row>
    <row r="26" spans="1:8">
      <c r="A26" s="785" t="s">
        <v>2624</v>
      </c>
      <c r="B26" s="785" t="s">
        <v>2580</v>
      </c>
      <c r="C26" s="785" t="s">
        <v>2558</v>
      </c>
      <c r="D26" s="785" t="s">
        <v>2570</v>
      </c>
      <c r="E26" s="1039">
        <v>59033.61</v>
      </c>
      <c r="F26" s="1039">
        <v>-61362</v>
      </c>
      <c r="G26" s="785" t="s">
        <v>2625</v>
      </c>
      <c r="H26" s="786">
        <v>69</v>
      </c>
    </row>
    <row r="27" spans="1:8">
      <c r="A27" s="785" t="s">
        <v>2626</v>
      </c>
      <c r="B27" s="785" t="s">
        <v>2580</v>
      </c>
      <c r="C27" s="785" t="s">
        <v>2558</v>
      </c>
      <c r="D27" s="785" t="s">
        <v>2600</v>
      </c>
      <c r="E27" s="1039">
        <v>68350.41</v>
      </c>
      <c r="F27" s="1039">
        <v>-68491.5</v>
      </c>
      <c r="G27" s="785" t="s">
        <v>2627</v>
      </c>
      <c r="H27" s="786">
        <v>76</v>
      </c>
    </row>
    <row r="28" spans="1:8">
      <c r="A28" s="785" t="s">
        <v>2628</v>
      </c>
      <c r="B28" s="785" t="s">
        <v>2580</v>
      </c>
      <c r="C28" s="785" t="s">
        <v>2558</v>
      </c>
      <c r="D28" s="785" t="s">
        <v>2600</v>
      </c>
      <c r="E28" s="1039">
        <v>64527.11</v>
      </c>
      <c r="F28" s="1039">
        <v>-67121.25</v>
      </c>
      <c r="G28" s="785" t="s">
        <v>2629</v>
      </c>
      <c r="H28" s="786">
        <v>54</v>
      </c>
    </row>
    <row r="29" spans="1:8">
      <c r="A29" s="785" t="s">
        <v>2630</v>
      </c>
      <c r="B29" s="785" t="s">
        <v>2580</v>
      </c>
      <c r="C29" s="785" t="s">
        <v>2566</v>
      </c>
      <c r="D29" s="785" t="s">
        <v>2584</v>
      </c>
      <c r="E29" s="1039">
        <v>124302.9</v>
      </c>
      <c r="F29" s="1039">
        <v>-129884.5</v>
      </c>
      <c r="G29" s="785" t="s">
        <v>2631</v>
      </c>
      <c r="H29" s="786">
        <v>75</v>
      </c>
    </row>
    <row r="30" spans="1:8">
      <c r="A30" s="785" t="s">
        <v>2632</v>
      </c>
      <c r="B30" s="785" t="s">
        <v>2580</v>
      </c>
      <c r="C30" s="785" t="s">
        <v>2558</v>
      </c>
      <c r="D30" s="785" t="s">
        <v>2594</v>
      </c>
      <c r="E30" s="1039">
        <v>88302.11</v>
      </c>
      <c r="F30" s="1039">
        <v>-92085</v>
      </c>
      <c r="G30" s="785" t="s">
        <v>2633</v>
      </c>
      <c r="H30" s="786">
        <v>62</v>
      </c>
    </row>
    <row r="31" spans="1:8">
      <c r="A31" s="785" t="s">
        <v>2634</v>
      </c>
      <c r="B31" s="785" t="s">
        <v>2580</v>
      </c>
      <c r="C31" s="785" t="s">
        <v>2566</v>
      </c>
      <c r="D31" s="785" t="s">
        <v>2567</v>
      </c>
      <c r="E31" s="1039">
        <v>66086.89</v>
      </c>
      <c r="F31" s="1039">
        <v>-65273.25</v>
      </c>
      <c r="G31" s="785" t="s">
        <v>2635</v>
      </c>
      <c r="H31" s="786">
        <v>44</v>
      </c>
    </row>
    <row r="32" spans="1:8">
      <c r="A32" s="785" t="s">
        <v>2636</v>
      </c>
      <c r="B32" s="785" t="s">
        <v>2580</v>
      </c>
      <c r="C32" s="785" t="s">
        <v>2558</v>
      </c>
      <c r="D32" s="785" t="s">
        <v>2622</v>
      </c>
      <c r="E32" s="1039">
        <v>152133.60999999999</v>
      </c>
      <c r="F32" s="1039">
        <v>-159117</v>
      </c>
      <c r="G32" s="785" t="s">
        <v>2637</v>
      </c>
      <c r="H32" s="786">
        <v>47</v>
      </c>
    </row>
    <row r="33" spans="1:8">
      <c r="A33" s="785" t="s">
        <v>2638</v>
      </c>
      <c r="B33" s="785" t="s">
        <v>2580</v>
      </c>
      <c r="C33" s="785" t="s">
        <v>2566</v>
      </c>
      <c r="D33" s="785" t="s">
        <v>2591</v>
      </c>
      <c r="E33" s="1039">
        <v>102062.11</v>
      </c>
      <c r="F33" s="1039">
        <v>-106533</v>
      </c>
      <c r="G33" s="785" t="s">
        <v>2639</v>
      </c>
      <c r="H33" s="786">
        <v>41</v>
      </c>
    </row>
    <row r="34" spans="1:8">
      <c r="A34" s="785" t="s">
        <v>2640</v>
      </c>
      <c r="B34" s="785" t="s">
        <v>2580</v>
      </c>
      <c r="C34" s="785" t="s">
        <v>2566</v>
      </c>
      <c r="D34" s="785" t="s">
        <v>2519</v>
      </c>
      <c r="E34" s="1039">
        <v>256374.68</v>
      </c>
      <c r="F34" s="1039">
        <v>-260331.75</v>
      </c>
      <c r="G34" s="785" t="s">
        <v>2641</v>
      </c>
      <c r="H34" s="786">
        <v>53</v>
      </c>
    </row>
    <row r="35" spans="1:8">
      <c r="A35" s="785" t="s">
        <v>2642</v>
      </c>
      <c r="B35" s="785" t="s">
        <v>2580</v>
      </c>
      <c r="C35" s="785" t="s">
        <v>2558</v>
      </c>
      <c r="D35" s="785" t="s">
        <v>2600</v>
      </c>
      <c r="E35" s="1039">
        <v>62523.61</v>
      </c>
      <c r="F35" s="1039">
        <v>-65026.5</v>
      </c>
      <c r="G35" s="785" t="s">
        <v>2643</v>
      </c>
      <c r="H35" s="786">
        <v>39</v>
      </c>
    </row>
    <row r="36" spans="1:8">
      <c r="A36" s="785" t="s">
        <v>2644</v>
      </c>
      <c r="B36" s="785" t="s">
        <v>2580</v>
      </c>
      <c r="C36" s="785" t="s">
        <v>2558</v>
      </c>
      <c r="D36" s="785" t="s">
        <v>2645</v>
      </c>
      <c r="E36" s="1039">
        <v>65907.61</v>
      </c>
      <c r="F36" s="1039">
        <v>-64921.5</v>
      </c>
      <c r="G36" s="785" t="s">
        <v>2646</v>
      </c>
      <c r="H36" s="786">
        <v>32</v>
      </c>
    </row>
    <row r="37" spans="1:8">
      <c r="A37" s="785" t="s">
        <v>2647</v>
      </c>
      <c r="B37" s="785" t="s">
        <v>2580</v>
      </c>
      <c r="C37" s="785" t="s">
        <v>2587</v>
      </c>
      <c r="D37" s="785" t="s">
        <v>2648</v>
      </c>
      <c r="E37" s="1039">
        <v>105460</v>
      </c>
      <c r="F37" s="1039">
        <v>-110733</v>
      </c>
      <c r="G37" s="785" t="s">
        <v>2649</v>
      </c>
      <c r="H37" s="786">
        <v>27</v>
      </c>
    </row>
    <row r="38" spans="1:8">
      <c r="A38" s="785" t="s">
        <v>2650</v>
      </c>
      <c r="B38" s="785" t="s">
        <v>2580</v>
      </c>
      <c r="C38" s="785" t="s">
        <v>2566</v>
      </c>
      <c r="D38" s="785" t="s">
        <v>2575</v>
      </c>
      <c r="E38" s="1039">
        <v>50652.37</v>
      </c>
      <c r="F38" s="1039">
        <v>-51161.25</v>
      </c>
      <c r="G38" s="785" t="s">
        <v>2651</v>
      </c>
      <c r="H38" s="786">
        <v>23</v>
      </c>
    </row>
    <row r="39" spans="1:8">
      <c r="A39" s="785" t="s">
        <v>2652</v>
      </c>
      <c r="B39" s="785" t="s">
        <v>2580</v>
      </c>
      <c r="C39" s="785" t="s">
        <v>2566</v>
      </c>
      <c r="D39" s="785" t="s">
        <v>2575</v>
      </c>
      <c r="E39" s="1039">
        <v>52861.87</v>
      </c>
      <c r="F39" s="1039">
        <v>-54873</v>
      </c>
      <c r="G39" s="785" t="s">
        <v>2653</v>
      </c>
      <c r="H39" s="786">
        <v>23</v>
      </c>
    </row>
    <row r="40" spans="1:8">
      <c r="A40" s="785" t="s">
        <v>2654</v>
      </c>
      <c r="B40" s="785" t="s">
        <v>2580</v>
      </c>
      <c r="C40" s="785" t="s">
        <v>2566</v>
      </c>
      <c r="D40" s="785" t="s">
        <v>2567</v>
      </c>
      <c r="E40" s="1039">
        <v>62766.87</v>
      </c>
      <c r="F40" s="1039">
        <v>-65273.25</v>
      </c>
      <c r="G40" s="785" t="s">
        <v>2655</v>
      </c>
      <c r="H40" s="786">
        <v>20</v>
      </c>
    </row>
    <row r="41" spans="1:8">
      <c r="A41" s="785" t="s">
        <v>2656</v>
      </c>
      <c r="B41" s="785" t="s">
        <v>2580</v>
      </c>
      <c r="C41" s="785" t="s">
        <v>2566</v>
      </c>
      <c r="D41" s="785" t="s">
        <v>2567</v>
      </c>
      <c r="E41" s="1039">
        <v>84801.87</v>
      </c>
      <c r="F41" s="1039">
        <v>-88410</v>
      </c>
      <c r="G41" s="785" t="s">
        <v>2657</v>
      </c>
      <c r="H41" s="786">
        <v>20</v>
      </c>
    </row>
    <row r="42" spans="1:8">
      <c r="A42" s="785" t="s">
        <v>2658</v>
      </c>
      <c r="B42" s="785" t="s">
        <v>2580</v>
      </c>
      <c r="C42" s="785" t="s">
        <v>2566</v>
      </c>
      <c r="D42" s="785" t="s">
        <v>2575</v>
      </c>
      <c r="E42" s="1039">
        <v>56811.87</v>
      </c>
      <c r="F42" s="1039">
        <v>-59020.5</v>
      </c>
      <c r="G42" s="785" t="s">
        <v>2659</v>
      </c>
      <c r="H42" s="786">
        <v>20</v>
      </c>
    </row>
    <row r="43" spans="1:8">
      <c r="A43" s="785" t="s">
        <v>2660</v>
      </c>
      <c r="B43" s="785" t="s">
        <v>2580</v>
      </c>
      <c r="C43" s="785" t="s">
        <v>2566</v>
      </c>
      <c r="D43" s="785" t="s">
        <v>2567</v>
      </c>
      <c r="E43" s="1039">
        <v>75685</v>
      </c>
      <c r="F43" s="1039">
        <v>-79469.25</v>
      </c>
      <c r="G43" s="785" t="s">
        <v>2661</v>
      </c>
      <c r="H43" s="786">
        <v>20</v>
      </c>
    </row>
    <row r="44" spans="1:8">
      <c r="A44" s="785" t="s">
        <v>2662</v>
      </c>
      <c r="B44" s="785" t="s">
        <v>2580</v>
      </c>
      <c r="C44" s="785" t="s">
        <v>2566</v>
      </c>
      <c r="D44" s="785" t="s">
        <v>2581</v>
      </c>
      <c r="E44" s="1039">
        <v>101600</v>
      </c>
      <c r="F44" s="1039">
        <v>-106680</v>
      </c>
      <c r="G44" s="785" t="s">
        <v>2663</v>
      </c>
      <c r="H44" s="786">
        <v>9</v>
      </c>
    </row>
    <row r="45" spans="1:8">
      <c r="A45" s="785" t="s">
        <v>2664</v>
      </c>
      <c r="B45" s="785" t="s">
        <v>2580</v>
      </c>
      <c r="C45" s="785" t="s">
        <v>2566</v>
      </c>
      <c r="D45" s="785" t="s">
        <v>2567</v>
      </c>
      <c r="E45" s="1039">
        <v>62165</v>
      </c>
      <c r="F45" s="1039">
        <v>-65273.25</v>
      </c>
      <c r="G45" s="785" t="s">
        <v>2665</v>
      </c>
      <c r="H45" s="786">
        <v>9</v>
      </c>
    </row>
    <row r="46" spans="1:8">
      <c r="A46" s="785" t="s">
        <v>2666</v>
      </c>
      <c r="B46" s="785" t="s">
        <v>2580</v>
      </c>
      <c r="C46" s="785" t="s">
        <v>2566</v>
      </c>
      <c r="D46" s="785" t="s">
        <v>2567</v>
      </c>
      <c r="E46" s="1039">
        <v>65370</v>
      </c>
      <c r="F46" s="1039">
        <v>-68638.5</v>
      </c>
      <c r="G46" s="785" t="s">
        <v>2667</v>
      </c>
      <c r="H46" s="786">
        <v>9</v>
      </c>
    </row>
    <row r="47" spans="1:8">
      <c r="A47" s="785"/>
      <c r="B47" s="785"/>
      <c r="C47" s="785"/>
      <c r="D47" s="785"/>
      <c r="E47" s="1039"/>
      <c r="F47" s="1039"/>
      <c r="G47" s="785"/>
      <c r="H47" s="786"/>
    </row>
    <row r="48" spans="1:8">
      <c r="A48" s="785"/>
      <c r="B48" s="785"/>
      <c r="C48" s="785"/>
      <c r="D48" s="785"/>
      <c r="E48" s="1039"/>
      <c r="F48" s="1039"/>
      <c r="G48" s="785"/>
      <c r="H48" s="786"/>
    </row>
    <row r="49" spans="1:8">
      <c r="A49" s="785"/>
      <c r="B49" s="785"/>
      <c r="C49" s="785"/>
      <c r="D49" s="785"/>
      <c r="E49" s="1039"/>
      <c r="F49" s="1039"/>
      <c r="G49" s="785"/>
      <c r="H49" s="786"/>
    </row>
    <row r="50" spans="1:8">
      <c r="A50" s="785"/>
      <c r="B50" s="785"/>
      <c r="C50" s="785"/>
      <c r="D50" s="785"/>
      <c r="E50" s="1039"/>
      <c r="F50" s="1039"/>
      <c r="G50" s="785"/>
      <c r="H50" s="786"/>
    </row>
    <row r="51" spans="1:8">
      <c r="A51" s="785"/>
      <c r="B51" s="785"/>
      <c r="C51" s="785"/>
      <c r="D51" s="785"/>
      <c r="E51" s="1039"/>
      <c r="F51" s="1039"/>
      <c r="G51" s="785"/>
      <c r="H51" s="786"/>
    </row>
    <row r="52" spans="1:8">
      <c r="A52" s="785"/>
      <c r="B52" s="785"/>
      <c r="C52" s="785"/>
      <c r="D52" s="785"/>
      <c r="E52" s="1039"/>
      <c r="F52" s="1039"/>
      <c r="G52" s="785"/>
      <c r="H52" s="786"/>
    </row>
    <row r="53" spans="1:8">
      <c r="A53" s="785"/>
      <c r="B53" s="785"/>
      <c r="C53" s="785"/>
      <c r="D53" s="785"/>
      <c r="E53" s="1039"/>
      <c r="F53" s="1039"/>
      <c r="G53" s="785"/>
      <c r="H53" s="786"/>
    </row>
    <row r="54" spans="1:8">
      <c r="A54" s="785"/>
      <c r="B54" s="785"/>
      <c r="C54" s="785"/>
      <c r="D54" s="785"/>
      <c r="E54" s="1039"/>
      <c r="F54" s="1039"/>
      <c r="G54" s="785"/>
      <c r="H54" s="786"/>
    </row>
    <row r="55" spans="1:8">
      <c r="A55" s="785"/>
      <c r="B55" s="785"/>
      <c r="C55" s="785"/>
      <c r="D55" s="785"/>
      <c r="E55" s="1039"/>
      <c r="F55" s="1039"/>
      <c r="G55" s="785"/>
      <c r="H55" s="786"/>
    </row>
    <row r="56" spans="1:8">
      <c r="A56" s="785"/>
      <c r="B56" s="785"/>
      <c r="C56" s="785"/>
      <c r="D56" s="785"/>
      <c r="E56" s="1039"/>
      <c r="F56" s="1039"/>
      <c r="G56" s="785"/>
      <c r="H56" s="786"/>
    </row>
    <row r="57" spans="1:8">
      <c r="A57" s="785"/>
      <c r="B57" s="785"/>
      <c r="C57" s="785"/>
      <c r="D57" s="785"/>
      <c r="E57" s="1039"/>
      <c r="F57" s="1039"/>
      <c r="G57" s="785"/>
      <c r="H57" s="786"/>
    </row>
    <row r="58" spans="1:8">
      <c r="A58" s="785"/>
      <c r="B58" s="785"/>
      <c r="C58" s="785"/>
      <c r="D58" s="785"/>
      <c r="E58" s="1039"/>
      <c r="F58" s="1039"/>
      <c r="G58" s="785"/>
      <c r="H58" s="786"/>
    </row>
    <row r="59" spans="1:8">
      <c r="A59" s="785"/>
      <c r="B59" s="785"/>
      <c r="C59" s="785"/>
      <c r="D59" s="785"/>
      <c r="E59" s="1039"/>
      <c r="F59" s="1039"/>
      <c r="G59" s="785"/>
      <c r="H59" s="786"/>
    </row>
    <row r="60" spans="1:8">
      <c r="A60" s="785"/>
      <c r="B60" s="785"/>
      <c r="C60" s="785"/>
      <c r="D60" s="785"/>
      <c r="E60" s="1039"/>
      <c r="F60" s="1039"/>
      <c r="G60" s="785"/>
      <c r="H60" s="786"/>
    </row>
    <row r="61" spans="1:8">
      <c r="A61" s="785"/>
      <c r="B61" s="785"/>
      <c r="C61" s="785"/>
      <c r="D61" s="785"/>
      <c r="E61" s="1039"/>
      <c r="F61" s="1039"/>
      <c r="G61" s="785"/>
      <c r="H61" s="786"/>
    </row>
    <row r="62" spans="1:8">
      <c r="A62" s="785"/>
      <c r="B62" s="785"/>
      <c r="C62" s="785"/>
      <c r="D62" s="785"/>
      <c r="E62" s="1039"/>
      <c r="F62" s="1039"/>
      <c r="G62" s="785"/>
      <c r="H62" s="786"/>
    </row>
    <row r="63" spans="1:8">
      <c r="A63" s="785"/>
      <c r="B63" s="785"/>
      <c r="C63" s="785"/>
      <c r="D63" s="785"/>
      <c r="E63" s="1039"/>
      <c r="F63" s="1039"/>
      <c r="G63" s="785"/>
      <c r="H63" s="786"/>
    </row>
    <row r="64" spans="1:8">
      <c r="A64" s="785"/>
      <c r="B64" s="785"/>
      <c r="C64" s="785"/>
      <c r="D64" s="785"/>
      <c r="E64" s="1039"/>
      <c r="F64" s="1039"/>
      <c r="G64" s="785"/>
      <c r="H64" s="786"/>
    </row>
    <row r="65" spans="1:8">
      <c r="A65" s="785"/>
      <c r="B65" s="785"/>
      <c r="C65" s="785"/>
      <c r="D65" s="785"/>
      <c r="E65" s="1039"/>
      <c r="F65" s="1039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254</v>
      </c>
      <c r="E1" s="781" t="s">
        <v>2164</v>
      </c>
      <c r="F1" s="781" t="s">
        <v>2165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2668</v>
      </c>
      <c r="B2" s="789">
        <v>2004</v>
      </c>
      <c r="C2" s="785" t="s">
        <v>2669</v>
      </c>
      <c r="D2" s="785" t="s">
        <v>2670</v>
      </c>
      <c r="E2" s="1039">
        <v>3856.45</v>
      </c>
      <c r="F2" s="1039"/>
      <c r="G2" s="785" t="s">
        <v>2671</v>
      </c>
      <c r="H2" s="786">
        <v>1482</v>
      </c>
      <c r="K2" s="784" t="s">
        <v>2163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2672</v>
      </c>
      <c r="B3" s="789">
        <v>2022</v>
      </c>
      <c r="C3" s="785" t="s">
        <v>2558</v>
      </c>
      <c r="D3" s="785" t="s">
        <v>2673</v>
      </c>
      <c r="E3" s="1039">
        <v>75917.210000000006</v>
      </c>
      <c r="F3" s="1039">
        <v>-50220</v>
      </c>
      <c r="G3" s="785" t="s">
        <v>2674</v>
      </c>
      <c r="H3" s="786">
        <v>490</v>
      </c>
      <c r="L3" s="787">
        <f>+COUNT(E2:E10000)</f>
        <v>50</v>
      </c>
    </row>
    <row r="4" spans="1:13">
      <c r="A4" s="789" t="s">
        <v>2675</v>
      </c>
      <c r="B4" s="789">
        <v>2021</v>
      </c>
      <c r="C4" s="789" t="s">
        <v>2566</v>
      </c>
      <c r="D4" s="789" t="s">
        <v>2581</v>
      </c>
      <c r="E4" s="790">
        <v>75668.81</v>
      </c>
      <c r="F4" s="790">
        <v>-55025</v>
      </c>
      <c r="G4" s="789" t="s">
        <v>2676</v>
      </c>
      <c r="H4" s="789">
        <v>306</v>
      </c>
    </row>
    <row r="5" spans="1:13">
      <c r="A5" s="785" t="s">
        <v>2677</v>
      </c>
      <c r="B5" s="789">
        <v>2019</v>
      </c>
      <c r="C5" s="785" t="s">
        <v>2558</v>
      </c>
      <c r="D5" s="785" t="s">
        <v>2678</v>
      </c>
      <c r="E5" s="1039">
        <v>61477.55</v>
      </c>
      <c r="F5" s="1039">
        <v>-55037.5</v>
      </c>
      <c r="G5" s="785" t="s">
        <v>2679</v>
      </c>
      <c r="H5" s="786">
        <v>235</v>
      </c>
    </row>
    <row r="6" spans="1:13">
      <c r="A6" s="785" t="s">
        <v>2680</v>
      </c>
      <c r="B6" s="789">
        <v>2021</v>
      </c>
      <c r="C6" s="785" t="s">
        <v>2681</v>
      </c>
      <c r="D6" s="785" t="s">
        <v>2682</v>
      </c>
      <c r="E6" s="1039">
        <v>57247.58</v>
      </c>
      <c r="F6" s="1039">
        <v>-48210.15</v>
      </c>
      <c r="G6" s="785" t="s">
        <v>2683</v>
      </c>
      <c r="H6" s="786">
        <v>144</v>
      </c>
    </row>
    <row r="7" spans="1:13">
      <c r="A7" s="789" t="s">
        <v>2684</v>
      </c>
      <c r="B7" s="789">
        <v>2023</v>
      </c>
      <c r="C7" s="789" t="s">
        <v>2566</v>
      </c>
      <c r="D7" s="789" t="s">
        <v>2575</v>
      </c>
      <c r="E7" s="790">
        <v>51697.81</v>
      </c>
      <c r="F7" s="790">
        <v>-49599.39</v>
      </c>
      <c r="G7" s="789" t="s">
        <v>2685</v>
      </c>
      <c r="H7" s="789">
        <v>137</v>
      </c>
    </row>
    <row r="8" spans="1:13">
      <c r="A8" s="785" t="s">
        <v>2686</v>
      </c>
      <c r="B8" s="789">
        <v>2020</v>
      </c>
      <c r="C8" s="785" t="s">
        <v>2687</v>
      </c>
      <c r="D8" s="785" t="s">
        <v>2688</v>
      </c>
      <c r="E8" s="1039">
        <v>35295.85</v>
      </c>
      <c r="F8" s="1039">
        <v>-20589.759999999998</v>
      </c>
      <c r="G8" s="785" t="s">
        <v>2689</v>
      </c>
      <c r="H8" s="786">
        <v>125</v>
      </c>
    </row>
    <row r="9" spans="1:13">
      <c r="A9" s="785" t="s">
        <v>2690</v>
      </c>
      <c r="B9" s="789">
        <v>2019</v>
      </c>
      <c r="C9" s="785" t="s">
        <v>2558</v>
      </c>
      <c r="D9" s="785" t="s">
        <v>2691</v>
      </c>
      <c r="E9" s="1039">
        <v>31287.41</v>
      </c>
      <c r="F9" s="1039">
        <v>-23537.41</v>
      </c>
      <c r="G9" s="785" t="s">
        <v>2692</v>
      </c>
      <c r="H9" s="786">
        <v>111</v>
      </c>
    </row>
    <row r="10" spans="1:13">
      <c r="A10" s="789" t="s">
        <v>2693</v>
      </c>
      <c r="B10" s="789">
        <v>2022</v>
      </c>
      <c r="C10" s="789" t="s">
        <v>2694</v>
      </c>
      <c r="D10" s="789" t="s">
        <v>2695</v>
      </c>
      <c r="E10" s="790">
        <v>58424.95</v>
      </c>
      <c r="F10" s="790">
        <v>-80500</v>
      </c>
      <c r="G10" s="789" t="s">
        <v>2696</v>
      </c>
      <c r="H10" s="789">
        <v>108</v>
      </c>
    </row>
    <row r="11" spans="1:13">
      <c r="A11" s="785" t="s">
        <v>2697</v>
      </c>
      <c r="B11" s="789">
        <v>2020</v>
      </c>
      <c r="C11" s="785" t="s">
        <v>2566</v>
      </c>
      <c r="D11" s="785" t="s">
        <v>2567</v>
      </c>
      <c r="E11" s="1039">
        <v>30904.85</v>
      </c>
      <c r="F11" s="1039">
        <v>-21000</v>
      </c>
      <c r="G11" s="785" t="s">
        <v>2698</v>
      </c>
      <c r="H11" s="786">
        <v>103</v>
      </c>
    </row>
    <row r="12" spans="1:13">
      <c r="A12" s="789" t="s">
        <v>2699</v>
      </c>
      <c r="B12" s="789">
        <v>2023</v>
      </c>
      <c r="C12" s="789" t="s">
        <v>2700</v>
      </c>
      <c r="D12" s="789" t="s">
        <v>2701</v>
      </c>
      <c r="E12" s="790">
        <v>34707.449999999997</v>
      </c>
      <c r="F12" s="790">
        <v>-32060.23</v>
      </c>
      <c r="G12" s="789" t="s">
        <v>2702</v>
      </c>
      <c r="H12" s="789">
        <v>73</v>
      </c>
    </row>
    <row r="13" spans="1:13">
      <c r="A13" s="785" t="s">
        <v>2703</v>
      </c>
      <c r="B13" s="789">
        <v>2023</v>
      </c>
      <c r="C13" s="785" t="s">
        <v>2558</v>
      </c>
      <c r="D13" s="785" t="s">
        <v>2691</v>
      </c>
      <c r="E13" s="1039">
        <v>54482.17</v>
      </c>
      <c r="F13" s="1039">
        <v>-37837.25</v>
      </c>
      <c r="G13" s="785" t="s">
        <v>2704</v>
      </c>
      <c r="H13" s="786">
        <v>72</v>
      </c>
    </row>
    <row r="14" spans="1:13">
      <c r="A14" s="789" t="s">
        <v>2705</v>
      </c>
      <c r="B14" s="789">
        <v>2023</v>
      </c>
      <c r="C14" s="789" t="s">
        <v>2558</v>
      </c>
      <c r="D14" s="789" t="s">
        <v>2706</v>
      </c>
      <c r="E14" s="790">
        <v>65103.95</v>
      </c>
      <c r="F14" s="790">
        <v>-45150</v>
      </c>
      <c r="G14" s="789" t="s">
        <v>2707</v>
      </c>
      <c r="H14" s="789">
        <v>72</v>
      </c>
    </row>
    <row r="15" spans="1:13">
      <c r="A15" s="785" t="s">
        <v>2708</v>
      </c>
      <c r="B15" s="789">
        <v>2023</v>
      </c>
      <c r="C15" s="785" t="s">
        <v>2709</v>
      </c>
      <c r="D15" s="785" t="s">
        <v>2710</v>
      </c>
      <c r="E15" s="1039">
        <v>39059.949999999997</v>
      </c>
      <c r="F15" s="1039">
        <v>-35100</v>
      </c>
      <c r="G15" s="785" t="s">
        <v>2711</v>
      </c>
      <c r="H15" s="786">
        <v>67</v>
      </c>
    </row>
    <row r="16" spans="1:13">
      <c r="A16" s="785" t="s">
        <v>2712</v>
      </c>
      <c r="B16" s="789">
        <v>2020</v>
      </c>
      <c r="C16" s="785" t="s">
        <v>2558</v>
      </c>
      <c r="D16" s="785" t="s">
        <v>2713</v>
      </c>
      <c r="E16" s="1039">
        <v>31103.95</v>
      </c>
      <c r="F16" s="1039">
        <v>-18670.48</v>
      </c>
      <c r="G16" s="785" t="s">
        <v>2714</v>
      </c>
      <c r="H16" s="786">
        <v>62</v>
      </c>
    </row>
    <row r="17" spans="1:8">
      <c r="A17" s="785" t="s">
        <v>2715</v>
      </c>
      <c r="B17" s="789">
        <v>2021</v>
      </c>
      <c r="C17" s="785" t="s">
        <v>2566</v>
      </c>
      <c r="D17" s="785" t="s">
        <v>2567</v>
      </c>
      <c r="E17" s="1039">
        <v>48103.95</v>
      </c>
      <c r="F17" s="1039">
        <v>-32577.98</v>
      </c>
      <c r="G17" s="785" t="s">
        <v>2716</v>
      </c>
      <c r="H17" s="786">
        <v>62</v>
      </c>
    </row>
    <row r="18" spans="1:8">
      <c r="A18" s="785" t="s">
        <v>2717</v>
      </c>
      <c r="B18" s="789">
        <v>2021</v>
      </c>
      <c r="C18" s="785" t="s">
        <v>2558</v>
      </c>
      <c r="D18" s="785" t="s">
        <v>2718</v>
      </c>
      <c r="E18" s="1039">
        <v>37745.550000000003</v>
      </c>
      <c r="F18" s="1039">
        <v>-23564.68</v>
      </c>
      <c r="G18" s="785" t="s">
        <v>2719</v>
      </c>
      <c r="H18" s="786">
        <v>61</v>
      </c>
    </row>
    <row r="19" spans="1:8">
      <c r="A19" s="785" t="s">
        <v>2720</v>
      </c>
      <c r="B19" s="789">
        <v>2024</v>
      </c>
      <c r="C19" s="785" t="s">
        <v>2558</v>
      </c>
      <c r="D19" s="785" t="s">
        <v>2721</v>
      </c>
      <c r="E19" s="1039">
        <v>70066.3</v>
      </c>
      <c r="F19" s="1039">
        <v>-68000</v>
      </c>
      <c r="G19" s="785" t="s">
        <v>2722</v>
      </c>
      <c r="H19" s="786">
        <v>59</v>
      </c>
    </row>
    <row r="20" spans="1:8">
      <c r="A20" s="785" t="s">
        <v>2723</v>
      </c>
      <c r="B20" s="789">
        <v>2019</v>
      </c>
      <c r="C20" s="785" t="s">
        <v>2558</v>
      </c>
      <c r="D20" s="785" t="s">
        <v>2724</v>
      </c>
      <c r="E20" s="1039">
        <v>38003.4</v>
      </c>
      <c r="F20" s="1039">
        <v>-33300</v>
      </c>
      <c r="G20" s="785" t="s">
        <v>2725</v>
      </c>
      <c r="H20" s="786">
        <v>59</v>
      </c>
    </row>
    <row r="21" spans="1:8">
      <c r="A21" s="785" t="s">
        <v>2726</v>
      </c>
      <c r="B21" s="789">
        <v>2021</v>
      </c>
      <c r="C21" s="785" t="s">
        <v>2558</v>
      </c>
      <c r="D21" s="785" t="s">
        <v>2727</v>
      </c>
      <c r="E21" s="1039">
        <v>41692.78</v>
      </c>
      <c r="F21" s="1039">
        <v>-36900</v>
      </c>
      <c r="G21" s="785" t="s">
        <v>2728</v>
      </c>
      <c r="H21" s="786">
        <v>59</v>
      </c>
    </row>
    <row r="22" spans="1:8">
      <c r="A22" s="789" t="s">
        <v>2729</v>
      </c>
      <c r="B22" s="789">
        <v>2022</v>
      </c>
      <c r="C22" s="789" t="s">
        <v>2730</v>
      </c>
      <c r="D22" s="789" t="s">
        <v>2731</v>
      </c>
      <c r="E22" s="790">
        <v>31627.25</v>
      </c>
      <c r="F22" s="790">
        <v>-30500</v>
      </c>
      <c r="G22" s="789" t="s">
        <v>2732</v>
      </c>
      <c r="H22" s="789">
        <v>52</v>
      </c>
    </row>
    <row r="23" spans="1:8">
      <c r="A23" s="785" t="s">
        <v>2733</v>
      </c>
      <c r="B23" s="789">
        <v>2023</v>
      </c>
      <c r="C23" s="785" t="s">
        <v>2734</v>
      </c>
      <c r="D23" s="785" t="s">
        <v>2735</v>
      </c>
      <c r="E23" s="1039">
        <v>53380.08</v>
      </c>
      <c r="F23" s="1039">
        <v>-51800</v>
      </c>
      <c r="G23" s="785" t="s">
        <v>2736</v>
      </c>
      <c r="H23" s="786">
        <v>52</v>
      </c>
    </row>
    <row r="24" spans="1:8">
      <c r="A24" s="789" t="s">
        <v>2737</v>
      </c>
      <c r="B24" s="789">
        <v>2022</v>
      </c>
      <c r="C24" s="789" t="s">
        <v>2566</v>
      </c>
      <c r="D24" s="789" t="s">
        <v>2567</v>
      </c>
      <c r="E24" s="790">
        <v>62091.35</v>
      </c>
      <c r="F24" s="790">
        <v>-43050</v>
      </c>
      <c r="G24" s="789" t="s">
        <v>2738</v>
      </c>
      <c r="H24" s="789">
        <v>46</v>
      </c>
    </row>
    <row r="25" spans="1:8">
      <c r="A25" s="789" t="s">
        <v>2739</v>
      </c>
      <c r="B25" s="789">
        <v>2020</v>
      </c>
      <c r="C25" s="789" t="s">
        <v>2566</v>
      </c>
      <c r="D25" s="789" t="s">
        <v>2567</v>
      </c>
      <c r="E25" s="790">
        <v>36074.949999999997</v>
      </c>
      <c r="F25" s="790">
        <v>-24850</v>
      </c>
      <c r="G25" s="789" t="s">
        <v>2740</v>
      </c>
      <c r="H25" s="789">
        <v>39</v>
      </c>
    </row>
    <row r="26" spans="1:8">
      <c r="A26" s="785" t="s">
        <v>2741</v>
      </c>
      <c r="B26" s="789">
        <v>2020</v>
      </c>
      <c r="C26" s="785" t="s">
        <v>2558</v>
      </c>
      <c r="D26" s="785" t="s">
        <v>2721</v>
      </c>
      <c r="E26" s="1039">
        <v>32831.39</v>
      </c>
      <c r="F26" s="1039">
        <v>-18652.5</v>
      </c>
      <c r="G26" s="785" t="s">
        <v>2742</v>
      </c>
      <c r="H26" s="786">
        <v>39</v>
      </c>
    </row>
    <row r="27" spans="1:8">
      <c r="A27" s="785" t="s">
        <v>2743</v>
      </c>
      <c r="B27" s="789">
        <v>2018</v>
      </c>
      <c r="C27" s="785" t="s">
        <v>2566</v>
      </c>
      <c r="D27" s="785" t="s">
        <v>2567</v>
      </c>
      <c r="E27" s="1039">
        <v>23195</v>
      </c>
      <c r="F27" s="1039">
        <v>-19530</v>
      </c>
      <c r="G27" s="785" t="s">
        <v>2744</v>
      </c>
      <c r="H27" s="786">
        <v>38</v>
      </c>
    </row>
    <row r="28" spans="1:8">
      <c r="A28" s="785" t="s">
        <v>2745</v>
      </c>
      <c r="B28" s="789">
        <v>2021</v>
      </c>
      <c r="C28" s="785" t="s">
        <v>2709</v>
      </c>
      <c r="D28" s="785" t="s">
        <v>2746</v>
      </c>
      <c r="E28" s="1039">
        <v>39793.949999999997</v>
      </c>
      <c r="F28" s="1039">
        <v>-35550</v>
      </c>
      <c r="G28" s="785" t="s">
        <v>2747</v>
      </c>
      <c r="H28" s="786">
        <v>38</v>
      </c>
    </row>
    <row r="29" spans="1:8">
      <c r="A29" s="785" t="s">
        <v>2748</v>
      </c>
      <c r="B29" s="789">
        <v>2015</v>
      </c>
      <c r="C29" s="785" t="s">
        <v>2687</v>
      </c>
      <c r="D29" s="785" t="s">
        <v>2749</v>
      </c>
      <c r="E29" s="1039">
        <v>8000</v>
      </c>
      <c r="F29" s="1039"/>
      <c r="G29" s="785" t="s">
        <v>2750</v>
      </c>
      <c r="H29" s="786">
        <v>38</v>
      </c>
    </row>
    <row r="30" spans="1:8">
      <c r="A30" s="785" t="s">
        <v>2751</v>
      </c>
      <c r="B30" s="789">
        <v>2021</v>
      </c>
      <c r="C30" s="785" t="s">
        <v>2681</v>
      </c>
      <c r="D30" s="785" t="s">
        <v>2752</v>
      </c>
      <c r="E30" s="1039">
        <v>43899.95</v>
      </c>
      <c r="F30" s="1039">
        <v>-30450</v>
      </c>
      <c r="G30" s="785" t="s">
        <v>2753</v>
      </c>
      <c r="H30" s="786">
        <v>37</v>
      </c>
    </row>
    <row r="31" spans="1:8">
      <c r="A31" s="789" t="s">
        <v>2754</v>
      </c>
      <c r="B31" s="789">
        <v>2023</v>
      </c>
      <c r="C31" s="789" t="s">
        <v>2755</v>
      </c>
      <c r="D31" s="789" t="s">
        <v>2756</v>
      </c>
      <c r="E31" s="790">
        <v>47899.95</v>
      </c>
      <c r="F31" s="790">
        <v>-34300</v>
      </c>
      <c r="G31" s="789" t="s">
        <v>2757</v>
      </c>
      <c r="H31" s="789">
        <v>31</v>
      </c>
    </row>
    <row r="32" spans="1:8">
      <c r="A32" s="785" t="s">
        <v>2758</v>
      </c>
      <c r="B32" s="789">
        <v>2020</v>
      </c>
      <c r="C32" s="785" t="s">
        <v>2558</v>
      </c>
      <c r="D32" s="785" t="s">
        <v>2713</v>
      </c>
      <c r="E32" s="1039">
        <v>29024.85</v>
      </c>
      <c r="F32" s="1039">
        <v>-19599.509999999998</v>
      </c>
      <c r="G32" s="785" t="s">
        <v>2759</v>
      </c>
      <c r="H32" s="786">
        <v>26</v>
      </c>
    </row>
    <row r="33" spans="1:8">
      <c r="A33" s="789" t="s">
        <v>2760</v>
      </c>
      <c r="B33" s="789">
        <v>2014</v>
      </c>
      <c r="C33" s="789" t="s">
        <v>2558</v>
      </c>
      <c r="D33" s="789" t="s">
        <v>2761</v>
      </c>
      <c r="E33" s="790">
        <v>11164.86</v>
      </c>
      <c r="G33" s="789" t="s">
        <v>2762</v>
      </c>
      <c r="H33" s="789">
        <v>22</v>
      </c>
    </row>
    <row r="34" spans="1:8">
      <c r="A34" s="785" t="s">
        <v>2763</v>
      </c>
      <c r="B34" s="789">
        <v>2023</v>
      </c>
      <c r="C34" s="785" t="s">
        <v>2558</v>
      </c>
      <c r="D34" s="785" t="s">
        <v>2764</v>
      </c>
      <c r="E34" s="1039">
        <v>53250.2</v>
      </c>
      <c r="F34" s="1039">
        <v>-52796.25</v>
      </c>
      <c r="G34" s="785" t="s">
        <v>2765</v>
      </c>
      <c r="H34" s="786">
        <v>20</v>
      </c>
    </row>
    <row r="35" spans="1:8">
      <c r="A35" s="785" t="s">
        <v>2766</v>
      </c>
      <c r="B35" s="789">
        <v>2023</v>
      </c>
      <c r="C35" s="785" t="s">
        <v>2558</v>
      </c>
      <c r="D35" s="785" t="s">
        <v>2727</v>
      </c>
      <c r="E35" s="1039">
        <v>42103.5</v>
      </c>
      <c r="F35" s="1039">
        <v>-41658.65</v>
      </c>
      <c r="G35" s="785" t="s">
        <v>2767</v>
      </c>
      <c r="H35" s="786">
        <v>18</v>
      </c>
    </row>
    <row r="36" spans="1:8">
      <c r="A36" s="785" t="s">
        <v>2768</v>
      </c>
      <c r="B36" s="789">
        <v>2017</v>
      </c>
      <c r="C36" s="785" t="s">
        <v>2566</v>
      </c>
      <c r="D36" s="785" t="s">
        <v>2769</v>
      </c>
      <c r="E36" s="1039">
        <v>27407.01</v>
      </c>
      <c r="F36" s="1039">
        <v>-24300</v>
      </c>
      <c r="G36" s="785" t="s">
        <v>2770</v>
      </c>
      <c r="H36" s="786">
        <v>17</v>
      </c>
    </row>
    <row r="37" spans="1:8">
      <c r="A37" s="789" t="s">
        <v>2771</v>
      </c>
      <c r="B37" s="789">
        <v>2023</v>
      </c>
      <c r="C37" s="789" t="s">
        <v>2566</v>
      </c>
      <c r="D37" s="789" t="s">
        <v>2769</v>
      </c>
      <c r="E37" s="790">
        <v>58745</v>
      </c>
      <c r="F37" s="790">
        <v>-45726.94</v>
      </c>
      <c r="G37" s="789" t="s">
        <v>2772</v>
      </c>
      <c r="H37" s="789">
        <v>13</v>
      </c>
    </row>
    <row r="38" spans="1:8">
      <c r="A38" s="789" t="s">
        <v>2773</v>
      </c>
      <c r="B38" s="789">
        <v>2019</v>
      </c>
      <c r="C38" s="789" t="s">
        <v>2774</v>
      </c>
      <c r="D38" s="789" t="s">
        <v>2775</v>
      </c>
      <c r="E38" s="790">
        <v>11000</v>
      </c>
      <c r="F38" s="790">
        <v>-9900</v>
      </c>
      <c r="G38" s="789" t="s">
        <v>2776</v>
      </c>
      <c r="H38" s="789">
        <v>10</v>
      </c>
    </row>
    <row r="39" spans="1:8">
      <c r="A39" s="785" t="s">
        <v>2777</v>
      </c>
      <c r="B39" s="789">
        <v>2019</v>
      </c>
      <c r="C39" s="785" t="s">
        <v>2566</v>
      </c>
      <c r="D39" s="785" t="s">
        <v>2778</v>
      </c>
      <c r="E39" s="1039">
        <v>26995</v>
      </c>
      <c r="F39" s="1039">
        <v>-16020.18</v>
      </c>
      <c r="G39" s="785" t="s">
        <v>2779</v>
      </c>
      <c r="H39" s="786">
        <v>10</v>
      </c>
    </row>
    <row r="40" spans="1:8">
      <c r="A40" s="785" t="s">
        <v>2780</v>
      </c>
      <c r="B40" s="789">
        <v>2021</v>
      </c>
      <c r="C40" s="785" t="s">
        <v>2566</v>
      </c>
      <c r="D40" s="785" t="s">
        <v>2567</v>
      </c>
      <c r="E40" s="1039">
        <v>42500</v>
      </c>
      <c r="F40" s="1039">
        <v>-30072.18</v>
      </c>
      <c r="G40" s="785" t="s">
        <v>2781</v>
      </c>
      <c r="H40" s="786">
        <v>10</v>
      </c>
    </row>
    <row r="41" spans="1:8">
      <c r="A41" s="785" t="s">
        <v>2782</v>
      </c>
      <c r="B41" s="789">
        <v>2023</v>
      </c>
      <c r="C41" s="785" t="s">
        <v>2558</v>
      </c>
      <c r="D41" s="785" t="s">
        <v>2645</v>
      </c>
      <c r="E41" s="1039">
        <v>51776.06</v>
      </c>
      <c r="F41" s="1039">
        <v>-29211.39</v>
      </c>
      <c r="G41" s="785" t="s">
        <v>2783</v>
      </c>
      <c r="H41" s="786">
        <v>10</v>
      </c>
    </row>
    <row r="42" spans="1:8">
      <c r="A42" s="785" t="s">
        <v>2784</v>
      </c>
      <c r="B42" s="789">
        <v>2012</v>
      </c>
      <c r="C42" s="785" t="s">
        <v>2558</v>
      </c>
      <c r="D42" s="785" t="s">
        <v>2605</v>
      </c>
      <c r="E42" s="1039">
        <v>37500</v>
      </c>
      <c r="F42" s="1039"/>
      <c r="G42" s="785" t="s">
        <v>2785</v>
      </c>
      <c r="H42" s="786">
        <v>10</v>
      </c>
    </row>
    <row r="43" spans="1:8">
      <c r="A43" s="785" t="s">
        <v>2786</v>
      </c>
      <c r="B43" s="789">
        <v>2021</v>
      </c>
      <c r="C43" s="785" t="s">
        <v>2787</v>
      </c>
      <c r="D43" s="785" t="s">
        <v>2788</v>
      </c>
      <c r="E43" s="1039">
        <v>32547.15</v>
      </c>
      <c r="F43" s="1039">
        <v>-32547.15</v>
      </c>
      <c r="G43" s="785" t="s">
        <v>2789</v>
      </c>
      <c r="H43" s="786">
        <v>9</v>
      </c>
    </row>
    <row r="44" spans="1:8">
      <c r="A44" s="785" t="s">
        <v>2790</v>
      </c>
      <c r="B44" s="789">
        <v>2017</v>
      </c>
      <c r="C44" s="785" t="s">
        <v>2791</v>
      </c>
      <c r="D44" s="785" t="s">
        <v>2792</v>
      </c>
      <c r="E44" s="1039">
        <v>14000</v>
      </c>
      <c r="F44" s="1039"/>
      <c r="G44" s="785" t="s">
        <v>2793</v>
      </c>
      <c r="H44" s="786">
        <v>9</v>
      </c>
    </row>
    <row r="45" spans="1:8">
      <c r="A45" s="789" t="s">
        <v>2794</v>
      </c>
      <c r="B45" s="789">
        <v>2018</v>
      </c>
      <c r="C45" s="789" t="s">
        <v>2795</v>
      </c>
      <c r="D45" s="789" t="s">
        <v>2796</v>
      </c>
      <c r="E45" s="790">
        <v>18500</v>
      </c>
      <c r="G45" s="789" t="s">
        <v>2797</v>
      </c>
      <c r="H45" s="789">
        <v>3</v>
      </c>
    </row>
    <row r="46" spans="1:8">
      <c r="A46" s="789" t="s">
        <v>2798</v>
      </c>
      <c r="B46" s="789">
        <v>2017</v>
      </c>
      <c r="C46" s="789" t="s">
        <v>2558</v>
      </c>
      <c r="D46" s="789" t="s">
        <v>2713</v>
      </c>
      <c r="E46" s="790">
        <v>28000</v>
      </c>
      <c r="G46" s="789" t="s">
        <v>2799</v>
      </c>
      <c r="H46" s="789">
        <v>3</v>
      </c>
    </row>
    <row r="47" spans="1:8">
      <c r="A47" s="785" t="s">
        <v>2800</v>
      </c>
      <c r="B47" s="789">
        <v>2013</v>
      </c>
      <c r="C47" s="785" t="s">
        <v>2755</v>
      </c>
      <c r="D47" s="785" t="s">
        <v>2801</v>
      </c>
      <c r="E47" s="1039">
        <v>1500</v>
      </c>
      <c r="F47" s="1039"/>
      <c r="G47" s="785" t="s">
        <v>2802</v>
      </c>
      <c r="H47" s="786">
        <v>2</v>
      </c>
    </row>
    <row r="48" spans="1:8">
      <c r="A48" s="785" t="s">
        <v>2803</v>
      </c>
      <c r="B48" s="789">
        <v>2017</v>
      </c>
      <c r="C48" s="785" t="s">
        <v>2558</v>
      </c>
      <c r="D48" s="785" t="s">
        <v>2804</v>
      </c>
      <c r="E48" s="1039">
        <v>37000</v>
      </c>
      <c r="F48" s="1039"/>
      <c r="G48" s="785" t="s">
        <v>2805</v>
      </c>
      <c r="H48" s="786">
        <v>2</v>
      </c>
    </row>
    <row r="49" spans="1:8">
      <c r="A49" s="789" t="s">
        <v>2806</v>
      </c>
      <c r="B49" s="789">
        <v>2022</v>
      </c>
      <c r="C49" s="789" t="s">
        <v>2558</v>
      </c>
      <c r="D49" s="789" t="s">
        <v>2713</v>
      </c>
      <c r="E49" s="790">
        <v>37500</v>
      </c>
      <c r="G49" s="789" t="s">
        <v>2807</v>
      </c>
      <c r="H49" s="789">
        <v>2</v>
      </c>
    </row>
    <row r="50" spans="1:8">
      <c r="A50" s="789" t="s">
        <v>2808</v>
      </c>
      <c r="B50" s="789">
        <v>2021</v>
      </c>
      <c r="C50" s="789" t="s">
        <v>2566</v>
      </c>
      <c r="D50" s="789" t="s">
        <v>2581</v>
      </c>
      <c r="E50" s="790">
        <v>60000</v>
      </c>
      <c r="G50" s="789" t="s">
        <v>2809</v>
      </c>
      <c r="H50" s="789">
        <v>2</v>
      </c>
    </row>
    <row r="51" spans="1:8">
      <c r="A51" s="785" t="s">
        <v>2810</v>
      </c>
      <c r="B51" s="789">
        <v>2019</v>
      </c>
      <c r="C51" s="785" t="s">
        <v>2566</v>
      </c>
      <c r="D51" s="785" t="s">
        <v>2778</v>
      </c>
      <c r="E51" s="1039">
        <v>31000</v>
      </c>
      <c r="F51" s="1039"/>
      <c r="G51" s="785" t="s">
        <v>2811</v>
      </c>
      <c r="H51" s="786">
        <v>0</v>
      </c>
    </row>
    <row r="52" spans="1:8">
      <c r="A52" s="785"/>
      <c r="C52" s="785"/>
      <c r="D52" s="785"/>
      <c r="E52" s="1039"/>
      <c r="F52" s="1039"/>
      <c r="G52" s="785"/>
      <c r="H52" s="786"/>
    </row>
    <row r="54" spans="1:8">
      <c r="A54" s="785"/>
      <c r="C54" s="785"/>
      <c r="D54" s="785"/>
      <c r="E54" s="1039"/>
      <c r="F54" s="1039"/>
      <c r="G54" s="785"/>
      <c r="H54" s="786"/>
    </row>
    <row r="55" spans="1:8">
      <c r="A55" s="785"/>
      <c r="C55" s="785"/>
      <c r="D55" s="785"/>
      <c r="E55" s="1039"/>
      <c r="F55" s="1039"/>
      <c r="G55" s="785"/>
      <c r="H55" s="786"/>
    </row>
    <row r="56" spans="1:8">
      <c r="A56" s="785"/>
      <c r="C56" s="785"/>
      <c r="D56" s="785"/>
      <c r="E56" s="1039"/>
      <c r="F56" s="1039"/>
      <c r="G56" s="785"/>
      <c r="H56" s="786"/>
    </row>
    <row r="57" spans="1:8">
      <c r="A57" s="785"/>
      <c r="C57" s="785"/>
      <c r="D57" s="785"/>
      <c r="E57" s="1039"/>
      <c r="F57" s="1039"/>
      <c r="G57" s="785"/>
      <c r="H57" s="786"/>
    </row>
    <row r="58" spans="1:8">
      <c r="A58" s="785"/>
      <c r="C58" s="785"/>
      <c r="D58" s="785"/>
      <c r="E58" s="1039"/>
      <c r="F58" s="1039"/>
      <c r="G58" s="785"/>
      <c r="H58" s="786"/>
    </row>
    <row r="59" spans="1:8">
      <c r="A59" s="785"/>
      <c r="C59" s="785"/>
      <c r="D59" s="785"/>
      <c r="E59" s="1039"/>
      <c r="F59" s="1039"/>
      <c r="G59" s="785"/>
      <c r="H59" s="786"/>
    </row>
    <row r="61" spans="1:8">
      <c r="A61" s="785"/>
      <c r="C61" s="785"/>
      <c r="D61" s="785"/>
      <c r="E61" s="1039"/>
      <c r="F61" s="1039"/>
      <c r="G61" s="785"/>
      <c r="H61" s="786"/>
    </row>
    <row r="65" spans="1:8">
      <c r="A65" s="785"/>
      <c r="C65" s="785"/>
      <c r="D65" s="785"/>
      <c r="E65" s="1039"/>
      <c r="F65" s="1039"/>
      <c r="G65" s="785"/>
      <c r="H65" s="786"/>
    </row>
    <row r="66" spans="1:8">
      <c r="A66" s="785"/>
      <c r="C66" s="785"/>
      <c r="D66" s="785"/>
      <c r="E66" s="1039"/>
      <c r="F66" s="1039"/>
      <c r="G66" s="785"/>
      <c r="H66" s="786"/>
    </row>
    <row r="67" spans="1:8">
      <c r="A67" s="785"/>
      <c r="C67" s="785"/>
      <c r="D67" s="785"/>
      <c r="E67" s="1039"/>
      <c r="F67" s="1039"/>
      <c r="G67" s="785"/>
      <c r="H67" s="786"/>
    </row>
    <row r="68" spans="1:8">
      <c r="A68" s="785"/>
      <c r="C68" s="785"/>
      <c r="D68" s="785"/>
      <c r="E68" s="1039"/>
      <c r="F68" s="1039"/>
      <c r="G68" s="785"/>
      <c r="H68" s="786"/>
    </row>
    <row r="69" spans="1:8">
      <c r="A69" s="785"/>
      <c r="C69" s="785"/>
      <c r="D69" s="785"/>
      <c r="E69" s="1039"/>
      <c r="F69" s="1039"/>
      <c r="G69" s="785"/>
      <c r="H69" s="786"/>
    </row>
    <row r="70" spans="1:8">
      <c r="A70" s="785"/>
      <c r="C70" s="785"/>
      <c r="D70" s="785"/>
      <c r="E70" s="1039"/>
      <c r="F70" s="1039"/>
      <c r="G70" s="785"/>
      <c r="H70" s="786"/>
    </row>
    <row r="71" spans="1:8">
      <c r="A71" s="785"/>
      <c r="C71" s="785"/>
      <c r="D71" s="785"/>
      <c r="E71" s="1039"/>
      <c r="F71" s="1039"/>
      <c r="G71" s="785"/>
      <c r="H71" s="786"/>
    </row>
    <row r="72" spans="1:8">
      <c r="A72" s="785"/>
      <c r="C72" s="785"/>
      <c r="D72" s="785"/>
      <c r="E72" s="1039"/>
      <c r="F72" s="1039"/>
      <c r="G72" s="785"/>
      <c r="H72" s="786"/>
    </row>
    <row r="73" spans="1:8">
      <c r="A73" s="785"/>
      <c r="C73" s="785"/>
      <c r="D73" s="785"/>
      <c r="E73" s="1039"/>
      <c r="F73" s="1039"/>
      <c r="G73" s="785"/>
      <c r="H73" s="786"/>
    </row>
    <row r="74" spans="1:8">
      <c r="A74" s="785"/>
      <c r="C74" s="785"/>
      <c r="D74" s="785"/>
      <c r="E74" s="1039"/>
      <c r="F74" s="1039"/>
      <c r="G74" s="785"/>
      <c r="H74" s="786"/>
    </row>
    <row r="76" spans="1:8">
      <c r="A76" s="785"/>
      <c r="C76" s="785"/>
      <c r="D76" s="785"/>
      <c r="E76" s="1039"/>
      <c r="F76" s="1039"/>
      <c r="G76" s="785"/>
      <c r="H76" s="786"/>
    </row>
    <row r="77" spans="1:8">
      <c r="A77" s="785"/>
      <c r="C77" s="785"/>
      <c r="D77" s="785"/>
      <c r="E77" s="1039"/>
      <c r="F77" s="1039"/>
      <c r="G77" s="785"/>
      <c r="H77" s="786"/>
    </row>
    <row r="78" spans="1:8">
      <c r="A78" s="785"/>
      <c r="C78" s="785"/>
      <c r="D78" s="785"/>
      <c r="E78" s="1039"/>
      <c r="F78" s="1039"/>
      <c r="G78" s="785"/>
      <c r="H78" s="786"/>
    </row>
    <row r="79" spans="1:8">
      <c r="A79" s="785"/>
      <c r="C79" s="785"/>
      <c r="D79" s="785"/>
      <c r="E79" s="1039"/>
      <c r="F79" s="1039"/>
      <c r="G79" s="785"/>
      <c r="H79" s="786"/>
    </row>
    <row r="80" spans="1:8">
      <c r="A80" s="785"/>
      <c r="C80" s="785"/>
      <c r="D80" s="785"/>
      <c r="E80" s="1039"/>
      <c r="F80" s="1039"/>
      <c r="G80" s="785"/>
      <c r="H80" s="786"/>
    </row>
    <row r="81" spans="1:8">
      <c r="A81" s="785"/>
      <c r="C81" s="785"/>
      <c r="D81" s="785"/>
      <c r="E81" s="1039"/>
      <c r="F81" s="1039"/>
      <c r="G81" s="785"/>
      <c r="H81" s="786"/>
    </row>
    <row r="82" spans="1:8">
      <c r="A82" s="785"/>
      <c r="C82" s="785"/>
      <c r="D82" s="785"/>
      <c r="E82" s="1039"/>
      <c r="F82" s="1039"/>
      <c r="G82" s="785"/>
      <c r="H82" s="786"/>
    </row>
    <row r="83" spans="1:8">
      <c r="A83" s="785"/>
      <c r="C83" s="785"/>
      <c r="D83" s="785"/>
      <c r="E83" s="1039"/>
      <c r="F83" s="1039"/>
      <c r="G83" s="785"/>
      <c r="H83" s="786"/>
    </row>
    <row r="84" spans="1:8">
      <c r="A84" s="785"/>
      <c r="C84" s="785"/>
      <c r="D84" s="785"/>
      <c r="E84" s="1039"/>
      <c r="F84" s="1039"/>
      <c r="G84" s="785"/>
      <c r="H84" s="786"/>
    </row>
    <row r="85" spans="1:8">
      <c r="A85" s="785"/>
      <c r="C85" s="785"/>
      <c r="D85" s="785"/>
      <c r="E85" s="1039"/>
      <c r="F85" s="1039"/>
      <c r="G85" s="785"/>
      <c r="H85" s="786"/>
    </row>
    <row r="86" spans="1:8">
      <c r="A86" s="785"/>
      <c r="C86" s="785"/>
      <c r="D86" s="785"/>
      <c r="E86" s="1039"/>
      <c r="F86" s="1039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H5" sqref="H5:J5"/>
    </sheetView>
  </sheetViews>
  <sheetFormatPr baseColWidth="10" defaultColWidth="11" defaultRowHeight="15"/>
  <cols>
    <col min="1" max="1" width="2.5" style="1133" customWidth="1"/>
    <col min="2" max="2" width="11" style="1138"/>
    <col min="3" max="3" width="18.25" style="1139" bestFit="1" customWidth="1"/>
    <col min="4" max="6" width="11" style="1139"/>
    <col min="7" max="7" width="10.875" style="1140" bestFit="1" customWidth="1"/>
    <col min="8" max="8" width="12.125" style="1139" customWidth="1"/>
    <col min="9" max="9" width="16.875" style="1139" customWidth="1"/>
    <col min="10" max="10" width="25.5" style="1141" customWidth="1"/>
    <col min="11" max="16384" width="11" style="1133"/>
  </cols>
  <sheetData>
    <row r="1" spans="2:10" ht="21">
      <c r="B1" s="1226" t="s">
        <v>2859</v>
      </c>
      <c r="C1" s="1227"/>
      <c r="D1" s="1227"/>
      <c r="E1" s="1227"/>
      <c r="F1" s="1227"/>
      <c r="G1" s="1227"/>
      <c r="H1" s="1227"/>
      <c r="I1" s="1227"/>
      <c r="J1" s="1228"/>
    </row>
    <row r="2" spans="2:10">
      <c r="B2" s="1134" t="s">
        <v>2860</v>
      </c>
      <c r="C2" s="1135" t="s">
        <v>2161</v>
      </c>
      <c r="D2" s="1135" t="s">
        <v>5</v>
      </c>
      <c r="E2" s="1135" t="s">
        <v>2157</v>
      </c>
      <c r="F2" s="1135" t="s">
        <v>2158</v>
      </c>
      <c r="G2" s="1136" t="s">
        <v>2861</v>
      </c>
      <c r="H2" s="1135" t="s">
        <v>2862</v>
      </c>
      <c r="I2" s="1135" t="s">
        <v>2863</v>
      </c>
      <c r="J2" s="1137" t="s">
        <v>2864</v>
      </c>
    </row>
    <row r="3" spans="2:10">
      <c r="E3" s="1151"/>
      <c r="F3" s="1151"/>
      <c r="H3" s="1151"/>
      <c r="I3" s="1151"/>
    </row>
    <row r="4" spans="2:10">
      <c r="C4" s="1174"/>
      <c r="E4" s="1152"/>
      <c r="F4" s="1173"/>
      <c r="H4" s="1152" t="s">
        <v>2871</v>
      </c>
      <c r="I4" s="1152" t="s">
        <v>2872</v>
      </c>
      <c r="J4" s="1153" t="s">
        <v>2873</v>
      </c>
    </row>
    <row r="5" spans="2:10">
      <c r="B5" s="1170"/>
      <c r="E5" s="1171"/>
      <c r="F5" s="1171"/>
      <c r="H5" s="1152" t="s">
        <v>2874</v>
      </c>
      <c r="I5" s="1152" t="s">
        <v>2875</v>
      </c>
      <c r="J5" s="1153" t="s">
        <v>2876</v>
      </c>
    </row>
    <row r="48" spans="5:5">
      <c r="E48" s="1139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16" workbookViewId="0">
      <selection activeCell="E41" sqref="E41"/>
    </sheetView>
  </sheetViews>
  <sheetFormatPr baseColWidth="10" defaultColWidth="11" defaultRowHeight="15"/>
  <cols>
    <col min="1" max="1" width="4.75" style="1065" customWidth="1"/>
    <col min="2" max="2" width="5.5" style="1065" customWidth="1"/>
    <col min="3" max="3" width="20" style="1065" customWidth="1"/>
    <col min="4" max="4" width="1.75" style="1065" customWidth="1"/>
    <col min="5" max="7" width="11.125" style="1068" customWidth="1"/>
    <col min="8" max="8" width="8" style="1068" customWidth="1"/>
    <col min="9" max="9" width="1.75" style="1068" customWidth="1"/>
    <col min="10" max="12" width="11.125" style="1068" customWidth="1"/>
    <col min="13" max="13" width="8" style="1068" customWidth="1"/>
    <col min="14" max="14" width="11" style="1065"/>
    <col min="15" max="15" width="10" style="1065" customWidth="1"/>
    <col min="16" max="16" width="11" style="1065"/>
    <col min="17" max="17" width="6.375" style="1065" customWidth="1"/>
    <col min="18" max="16384" width="11" style="1065"/>
  </cols>
  <sheetData>
    <row r="1" spans="1:17" ht="30.75" customHeight="1">
      <c r="C1" s="1231" t="str">
        <f>"Analyse Wholesale "&amp;Parametres!B1</f>
        <v>Analyse Wholesale BMW Sherbrooke</v>
      </c>
      <c r="D1" s="1231"/>
      <c r="E1" s="1231"/>
      <c r="F1" s="1231"/>
      <c r="G1" s="1231"/>
      <c r="H1" s="1231"/>
      <c r="I1" s="1231"/>
      <c r="J1" s="1231"/>
      <c r="K1" s="1231"/>
      <c r="L1" s="1066"/>
      <c r="M1" s="1066"/>
      <c r="N1" s="1067"/>
      <c r="O1" s="1067"/>
      <c r="P1" s="1067"/>
      <c r="Q1" s="1067"/>
    </row>
    <row r="2" spans="1:17" ht="14.25" hidden="1" customHeight="1">
      <c r="D2" s="1065" t="s">
        <v>285</v>
      </c>
      <c r="F2" s="1068" t="s">
        <v>270</v>
      </c>
      <c r="G2" s="1068" t="s">
        <v>306</v>
      </c>
      <c r="L2" s="1068" t="s">
        <v>285</v>
      </c>
      <c r="N2" s="1065" t="s">
        <v>270</v>
      </c>
      <c r="O2" s="1065" t="s">
        <v>306</v>
      </c>
    </row>
    <row r="4" spans="1:17" ht="15" customHeight="1">
      <c r="A4" s="1069"/>
      <c r="B4" s="1069"/>
      <c r="E4" s="1232" t="str">
        <f>CONCATENATE("Pièces Wholesale ",Parametres!B3," ",Parametres!B4)</f>
        <v>Pièces Wholesale Avril 2025</v>
      </c>
      <c r="F4" s="1233"/>
      <c r="G4" s="1233"/>
      <c r="H4" s="1234"/>
      <c r="J4" s="1235" t="str">
        <f>CONCATENATE("Pièces Wholesale AAD ",Parametres!B4)</f>
        <v>Pièces Wholesale AAD 2025</v>
      </c>
      <c r="K4" s="1236"/>
      <c r="L4" s="1236"/>
      <c r="M4" s="1237"/>
    </row>
    <row r="5" spans="1:17">
      <c r="A5" s="1069"/>
      <c r="B5" s="1069"/>
      <c r="C5" s="1072"/>
      <c r="D5" s="1073"/>
      <c r="E5" s="1070" t="s">
        <v>2818</v>
      </c>
      <c r="F5" s="1071" t="s">
        <v>2819</v>
      </c>
      <c r="G5" s="1070" t="s">
        <v>2820</v>
      </c>
      <c r="H5" s="1071" t="s">
        <v>2821</v>
      </c>
      <c r="J5" s="1070" t="s">
        <v>2818</v>
      </c>
      <c r="K5" s="1071" t="s">
        <v>2819</v>
      </c>
      <c r="L5" s="1070" t="s">
        <v>2820</v>
      </c>
      <c r="M5" s="1071" t="s">
        <v>2821</v>
      </c>
    </row>
    <row r="6" spans="1:17">
      <c r="A6" s="1069"/>
      <c r="B6" s="1069"/>
      <c r="C6" s="1074" t="s">
        <v>2822</v>
      </c>
      <c r="D6" s="1075"/>
      <c r="E6" s="1076">
        <f>SUMIF(A37:A48,"X",E37:E48)</f>
        <v>37</v>
      </c>
      <c r="F6" s="1077">
        <f>SUMIF(A37:A48,"X",F37:F48)</f>
        <v>22</v>
      </c>
      <c r="G6" s="1076">
        <f>E6-F6</f>
        <v>15</v>
      </c>
      <c r="H6" s="1078">
        <f>G6/F6</f>
        <v>0.68181818181818177</v>
      </c>
      <c r="J6" s="1076">
        <f>SUMIF($B$37:$B$48,"X",$E$37:$E$48)</f>
        <v>115</v>
      </c>
      <c r="K6" s="1077">
        <f>SUMIF($B$37:$B$48,"X",$F$37:$F$48)</f>
        <v>88</v>
      </c>
      <c r="L6" s="1076">
        <f>J6-K6</f>
        <v>27</v>
      </c>
      <c r="M6" s="1078">
        <f>L6/K6</f>
        <v>0.30681818181818182</v>
      </c>
    </row>
    <row r="7" spans="1:17">
      <c r="A7" s="1079" t="str">
        <f>B7&amp;C7</f>
        <v>piècesVentes de Gros</v>
      </c>
      <c r="B7" s="1079" t="s">
        <v>1894</v>
      </c>
      <c r="C7" s="1080" t="s">
        <v>174</v>
      </c>
      <c r="D7" s="1081"/>
      <c r="E7" s="1082">
        <f>-SUMIFS(BV_Data_An_Cour!$O:$O,BV_Data_An_Cour!$X:$X,"Oui",BV_Data_An_Cour!$U:$U,$B7,BV_Data_An_Cour!$V:$V,$C7)</f>
        <v>72740.67</v>
      </c>
      <c r="F7" s="1083">
        <f>+INDEX('Budget original'!$A$2:$AO$501,MATCH($A7,'Budget original'!$A$2:$A$501,0),MATCH(F$2,'Budget original'!$A$2:$AO$2,0))</f>
        <v>38846.442240444754</v>
      </c>
      <c r="G7" s="1084">
        <f>E7-F7</f>
        <v>33894.227759555244</v>
      </c>
      <c r="H7" s="1085">
        <f>G7/F7</f>
        <v>0.87251819741336467</v>
      </c>
      <c r="J7" s="1082">
        <f>-SUMIFS(BV_Data_An_Cour!$P:$P,BV_Data_An_Cour!$X:$X,"Oui",BV_Data_An_Cour!$U:$U,$B7,BV_Data_An_Cour!$V:$V,$C7)</f>
        <v>229043.23</v>
      </c>
      <c r="K7" s="1083" cm="1">
        <f t="array" ref="K7">+SUMPRODUCT(('Budget original'!$A$8:$A$501=$A7)*('Budget original'!$C$3:$AO$3=N$2),'Budget original'!$C$8:$AO$501)</f>
        <v>196645.76088550454</v>
      </c>
      <c r="L7" s="1086">
        <f t="shared" ref="L7:L10" si="0">J7-K7</f>
        <v>32397.46911449547</v>
      </c>
      <c r="M7" s="1085">
        <f>L7/K7</f>
        <v>0.16475040686668371</v>
      </c>
    </row>
    <row r="8" spans="1:17">
      <c r="A8" s="1079"/>
      <c r="B8" s="1079"/>
      <c r="C8" s="1087" t="s">
        <v>2823</v>
      </c>
      <c r="D8" s="1081"/>
      <c r="E8" s="1088">
        <f>E7-E9</f>
        <v>56135.46</v>
      </c>
      <c r="F8" s="1089">
        <f>F7-F9</f>
        <v>28882.953792355802</v>
      </c>
      <c r="G8" s="1082">
        <f t="shared" ref="G8:G15" si="1">E8-F8</f>
        <v>27252.506207644197</v>
      </c>
      <c r="H8" s="1090">
        <f t="shared" ref="H8:H9" si="2">G8/F8</f>
        <v>0.94354983231863487</v>
      </c>
      <c r="J8" s="1088">
        <f>J7-J9</f>
        <v>175916.6</v>
      </c>
      <c r="K8" s="1089">
        <f>K7-K9</f>
        <v>146654.25870840362</v>
      </c>
      <c r="L8" s="1082">
        <f t="shared" si="0"/>
        <v>29262.341291596385</v>
      </c>
      <c r="M8" s="1090">
        <f t="shared" ref="M8:M9" si="3">L8/K8</f>
        <v>0.1995328437735957</v>
      </c>
    </row>
    <row r="9" spans="1:17">
      <c r="C9" s="1091" t="s">
        <v>195</v>
      </c>
      <c r="D9" s="1081"/>
      <c r="E9" s="1092">
        <f>E12+E11</f>
        <v>16605.21</v>
      </c>
      <c r="F9" s="1093">
        <f>F12+F11</f>
        <v>9963.4884480889523</v>
      </c>
      <c r="G9" s="1092">
        <f t="shared" si="1"/>
        <v>6641.7215519110468</v>
      </c>
      <c r="H9" s="1090">
        <f t="shared" si="2"/>
        <v>0.66660603728455803</v>
      </c>
      <c r="J9" s="1092">
        <f>J12+J11</f>
        <v>53126.630000000005</v>
      </c>
      <c r="K9" s="1093">
        <f>K12+K11</f>
        <v>49991.502177100905</v>
      </c>
      <c r="L9" s="1092">
        <f t="shared" si="0"/>
        <v>3135.1278228990996</v>
      </c>
      <c r="M9" s="1090">
        <f t="shared" si="3"/>
        <v>6.2713214973867601E-2</v>
      </c>
    </row>
    <row r="10" spans="1:17">
      <c r="A10" s="1079"/>
      <c r="B10" s="1079"/>
      <c r="C10" s="1087" t="s">
        <v>2824</v>
      </c>
      <c r="D10" s="1081"/>
      <c r="E10" s="1094">
        <f>E9/E7</f>
        <v>0.22827958554684744</v>
      </c>
      <c r="F10" s="1095">
        <f>F9/F7</f>
        <v>0.2564839370982479</v>
      </c>
      <c r="G10" s="1094">
        <f t="shared" si="1"/>
        <v>-2.8204351551400469E-2</v>
      </c>
      <c r="H10" s="1090"/>
      <c r="J10" s="1094">
        <f>J9/J7</f>
        <v>0.23195023053071687</v>
      </c>
      <c r="K10" s="1095">
        <f>K9/K7</f>
        <v>0.25422110271783621</v>
      </c>
      <c r="L10" s="1094">
        <f t="shared" si="0"/>
        <v>-2.2270872187119345E-2</v>
      </c>
      <c r="M10" s="1090"/>
    </row>
    <row r="11" spans="1:17">
      <c r="A11" s="1079"/>
      <c r="B11" s="1079"/>
      <c r="C11" s="1096" t="s">
        <v>2825</v>
      </c>
      <c r="D11" s="1081"/>
      <c r="E11" s="1086">
        <f>SUMIFS(BV_Data_An_Cour!$O:$O,BV_Data_An_Cour!$W:$W,$D$2,BV_Data_An_Cour!L:L,C31)</f>
        <v>2579.5300000000002</v>
      </c>
      <c r="F11" s="1097">
        <f>SUMIF($A$37:$A$48,"X",$G$37:$G$48)</f>
        <v>2194.1999999999998</v>
      </c>
      <c r="G11" s="1086">
        <f t="shared" si="1"/>
        <v>385.33000000000038</v>
      </c>
      <c r="H11" s="1085">
        <f t="shared" ref="H11:H12" si="4">G11/F11</f>
        <v>0.17561297967368536</v>
      </c>
      <c r="J11" s="1086">
        <f>SUMIFS(BV_Data_An_Cour!$P:$P,BV_Data_An_Cour!$W:$W,$L$2,BV_Data_An_Cour!T:T,C31)</f>
        <v>6884.92</v>
      </c>
      <c r="K11" s="1097">
        <f>SUMIF($B$37:$B$48,"X",$G$37:$G$48)</f>
        <v>10662.349999999999</v>
      </c>
      <c r="L11" s="1086">
        <f>J11-K11</f>
        <v>-3777.4299999999985</v>
      </c>
      <c r="M11" s="1085">
        <f t="shared" ref="M11:M12" si="5">L11/K11</f>
        <v>-0.35427743414913215</v>
      </c>
    </row>
    <row r="12" spans="1:17">
      <c r="A12" s="1098" t="s">
        <v>174</v>
      </c>
      <c r="B12" s="1079" t="s">
        <v>1894</v>
      </c>
      <c r="C12" s="1091" t="s">
        <v>2400</v>
      </c>
      <c r="D12" s="1081"/>
      <c r="E12" s="1092">
        <f>-SUMIFS(BV_Data_An_Cour!$O:$O,BV_Data_An_Cour!$U:$U,$B12,BV_Data_An_Cour!$V:$V,$A12,BV_Data_An_Cour!$W:$W,$D$2)</f>
        <v>14025.679999999998</v>
      </c>
      <c r="F12" s="1093">
        <f>+INDEX('Budget original'!$A$2:$AO$501,MATCH(B12&amp;$A12,'Budget original'!$A$2:$A$501,0),MATCH(G$2,'Budget original'!$A$2:$AO$2,0))</f>
        <v>7769.2884480889516</v>
      </c>
      <c r="G12" s="1092">
        <f t="shared" si="1"/>
        <v>6256.3915519110469</v>
      </c>
      <c r="H12" s="1090">
        <f t="shared" si="4"/>
        <v>0.80527214219340271</v>
      </c>
      <c r="J12" s="1092">
        <f>-SUMIFS(BV_Data_An_Cour!$P:$P,BV_Data_An_Cour!$U:$U,$B12,BV_Data_An_Cour!$V:$V,$A12,BV_Data_An_Cour!$W:$W,$D$2)</f>
        <v>46241.710000000006</v>
      </c>
      <c r="K12" s="1093" cm="1">
        <f t="array" ref="K12">+SUMPRODUCT(('Budget original'!$A$8:$A$501=B12&amp;$A12)*('Budget original'!$C$3:$AO$3=O$2),'Budget original'!$C$8:$AO$501)</f>
        <v>39329.152177100907</v>
      </c>
      <c r="L12" s="1092">
        <f t="shared" ref="L12:L16" si="6">J12-K12</f>
        <v>6912.5578228990998</v>
      </c>
      <c r="M12" s="1090">
        <f t="shared" si="5"/>
        <v>0.17576167906624449</v>
      </c>
    </row>
    <row r="13" spans="1:17">
      <c r="A13" s="1069"/>
      <c r="B13" s="1069"/>
      <c r="C13" s="1087" t="s">
        <v>108</v>
      </c>
      <c r="D13" s="1081"/>
      <c r="E13" s="1094">
        <f>(E12)/E7</f>
        <v>0.19281758059143528</v>
      </c>
      <c r="F13" s="1095">
        <f>(F12)/F7</f>
        <v>0.2</v>
      </c>
      <c r="G13" s="1099">
        <f t="shared" si="1"/>
        <v>-7.182419408564733E-3</v>
      </c>
      <c r="H13" s="1100"/>
      <c r="J13" s="1094">
        <f>(J12)/J7</f>
        <v>0.20189075223921704</v>
      </c>
      <c r="K13" s="1095">
        <f>(K12)/K7</f>
        <v>0.19999999999999998</v>
      </c>
      <c r="L13" s="1099">
        <f t="shared" si="6"/>
        <v>1.8907522392170584E-3</v>
      </c>
      <c r="M13" s="1100"/>
    </row>
    <row r="14" spans="1:17">
      <c r="A14" s="1069"/>
      <c r="B14" s="1069"/>
      <c r="C14" s="1096" t="s">
        <v>2826</v>
      </c>
      <c r="D14" s="1081"/>
      <c r="E14" s="1086">
        <f>SUMIFS(BV_Data_An_Cour!$O:$O,BV_Data_An_Cour!$W:$W,$D$2,BV_Data_An_Cour!L:L,C33)</f>
        <v>925</v>
      </c>
      <c r="F14" s="1101">
        <f>SUMIF(A37:A48,"X",F37:F48)*$G$33</f>
        <v>550</v>
      </c>
      <c r="G14" s="1082">
        <f>E14-F14</f>
        <v>375</v>
      </c>
      <c r="H14" s="1090">
        <f t="shared" ref="H14:H15" si="7">G14/F14</f>
        <v>0.68181818181818177</v>
      </c>
      <c r="J14" s="1086">
        <f>SUMIFS(BV_Data_An_Cour!$P:$P,BV_Data_An_Cour!$W:$W,$L$2,BV_Data_An_Cour!T:T,C33)</f>
        <v>2875</v>
      </c>
      <c r="K14" s="1101">
        <f>SUMIF(B37:B48,"X",F37:F48)*$G$33</f>
        <v>2200</v>
      </c>
      <c r="L14" s="1082">
        <f t="shared" si="6"/>
        <v>675</v>
      </c>
      <c r="M14" s="1090">
        <f t="shared" ref="M14:M15" si="8">L14/K14</f>
        <v>0.30681818181818182</v>
      </c>
    </row>
    <row r="15" spans="1:17">
      <c r="C15" s="1091" t="s">
        <v>2827</v>
      </c>
      <c r="D15" s="1081"/>
      <c r="E15" s="1092">
        <f>E12-E14</f>
        <v>13100.679999999998</v>
      </c>
      <c r="F15" s="1093">
        <f t="shared" ref="F15" si="9">F12-F14</f>
        <v>7219.2884480889516</v>
      </c>
      <c r="G15" s="1092">
        <f t="shared" si="1"/>
        <v>5881.3915519110469</v>
      </c>
      <c r="H15" s="1090">
        <f t="shared" si="7"/>
        <v>0.81467745667759472</v>
      </c>
      <c r="J15" s="1092">
        <f t="shared" ref="J15:K15" si="10">J12-J14</f>
        <v>43366.710000000006</v>
      </c>
      <c r="K15" s="1093">
        <f t="shared" si="10"/>
        <v>37129.152177100907</v>
      </c>
      <c r="L15" s="1092">
        <f t="shared" si="6"/>
        <v>6237.5578228990998</v>
      </c>
      <c r="M15" s="1090">
        <f t="shared" si="8"/>
        <v>0.16799623630366819</v>
      </c>
    </row>
    <row r="16" spans="1:17">
      <c r="C16" s="1102" t="s">
        <v>2828</v>
      </c>
      <c r="D16" s="1103"/>
      <c r="E16" s="1099">
        <f>E15/E7</f>
        <v>0.18010117311264798</v>
      </c>
      <c r="F16" s="1104">
        <f>F15/F7</f>
        <v>0.18584168926987682</v>
      </c>
      <c r="G16" s="1099">
        <f>E16-F16</f>
        <v>-5.7405161572288421E-3</v>
      </c>
      <c r="H16" s="1104"/>
      <c r="J16" s="1099">
        <f>J15/J7</f>
        <v>0.18933853665965156</v>
      </c>
      <c r="K16" s="1104">
        <f>K15/K7</f>
        <v>0.18881237007045917</v>
      </c>
      <c r="L16" s="1099">
        <f t="shared" si="6"/>
        <v>5.261665891923839E-4</v>
      </c>
      <c r="M16" s="1105"/>
    </row>
    <row r="17" spans="3:13">
      <c r="C17" s="1106"/>
      <c r="G17" s="1107"/>
      <c r="K17" s="1107"/>
    </row>
    <row r="18" spans="3:13">
      <c r="E18" s="1232" t="str">
        <f>CONCATENATE("Pièces Wholesale $ / livraison ",Parametres!B3," ",Parametres!B4)</f>
        <v>Pièces Wholesale $ / livraison Avril 2025</v>
      </c>
      <c r="F18" s="1233"/>
      <c r="G18" s="1233"/>
      <c r="H18" s="1234"/>
      <c r="J18" s="1235" t="str">
        <f>CONCATENATE("Pièces Wholesale AAD $ / livraison ",Parametres!B4)</f>
        <v>Pièces Wholesale AAD $ / livraison 2025</v>
      </c>
      <c r="K18" s="1236"/>
      <c r="L18" s="1236"/>
      <c r="M18" s="1237"/>
    </row>
    <row r="19" spans="3:13">
      <c r="C19" s="1072"/>
      <c r="D19" s="1073"/>
      <c r="E19" s="1070" t="s">
        <v>2818</v>
      </c>
      <c r="F19" s="1071" t="s">
        <v>2819</v>
      </c>
      <c r="G19" s="1070" t="s">
        <v>2820</v>
      </c>
      <c r="H19" s="1071" t="s">
        <v>2821</v>
      </c>
      <c r="J19" s="1070" t="s">
        <v>2818</v>
      </c>
      <c r="K19" s="1071" t="s">
        <v>2819</v>
      </c>
      <c r="L19" s="1070" t="s">
        <v>2820</v>
      </c>
      <c r="M19" s="1071" t="s">
        <v>2821</v>
      </c>
    </row>
    <row r="20" spans="3:13">
      <c r="C20" s="1080" t="s">
        <v>174</v>
      </c>
      <c r="D20" s="1081"/>
      <c r="E20" s="1082">
        <f>E7/E$6</f>
        <v>1965.964054054054</v>
      </c>
      <c r="F20" s="1083">
        <f>F7/F$6</f>
        <v>1765.7473745656707</v>
      </c>
      <c r="G20" s="1086">
        <f t="shared" ref="G20:G25" si="11">E20-F20</f>
        <v>200.21667948838331</v>
      </c>
      <c r="H20" s="1085">
        <f t="shared" ref="H20:H26" si="12">G20/F20</f>
        <v>0.11338919846200057</v>
      </c>
      <c r="J20" s="1082">
        <f>J7/J$6</f>
        <v>1991.6802608695652</v>
      </c>
      <c r="K20" s="1083">
        <f>K7/K$6</f>
        <v>2234.6109191534606</v>
      </c>
      <c r="L20" s="1086">
        <f t="shared" ref="L20:L25" si="13">J20-K20</f>
        <v>-242.93065828389535</v>
      </c>
      <c r="M20" s="1085">
        <f t="shared" ref="M20:M26" si="14">L20/K20</f>
        <v>-0.10871273213679855</v>
      </c>
    </row>
    <row r="21" spans="3:13">
      <c r="C21" s="1087" t="s">
        <v>2823</v>
      </c>
      <c r="D21" s="1081"/>
      <c r="E21" s="1088">
        <f t="shared" ref="E21:F22" si="15">E8/E$6</f>
        <v>1517.1745945945945</v>
      </c>
      <c r="F21" s="1089">
        <f>F8/F$6</f>
        <v>1312.8615360161727</v>
      </c>
      <c r="G21" s="1082">
        <f t="shared" si="11"/>
        <v>204.31305857842176</v>
      </c>
      <c r="H21" s="1090">
        <f t="shared" si="12"/>
        <v>0.15562422462189104</v>
      </c>
      <c r="J21" s="1088">
        <f t="shared" ref="J21:K22" si="16">J8/J$6</f>
        <v>1529.7095652173914</v>
      </c>
      <c r="K21" s="1089">
        <f t="shared" si="16"/>
        <v>1666.5256671409502</v>
      </c>
      <c r="L21" s="1082">
        <f t="shared" si="13"/>
        <v>-136.81610192355879</v>
      </c>
      <c r="M21" s="1090">
        <f t="shared" si="14"/>
        <v>-8.209660650368325E-2</v>
      </c>
    </row>
    <row r="22" spans="3:13">
      <c r="C22" s="1091" t="s">
        <v>195</v>
      </c>
      <c r="D22" s="1081"/>
      <c r="E22" s="1092">
        <f>E9/E$6</f>
        <v>448.78945945945941</v>
      </c>
      <c r="F22" s="1093">
        <f t="shared" si="15"/>
        <v>452.88583854949781</v>
      </c>
      <c r="G22" s="1092">
        <f t="shared" si="11"/>
        <v>-4.096379090038397</v>
      </c>
      <c r="H22" s="1090">
        <f t="shared" si="12"/>
        <v>-9.0450589118844498E-3</v>
      </c>
      <c r="J22" s="1092">
        <f t="shared" si="16"/>
        <v>461.97069565217396</v>
      </c>
      <c r="K22" s="1093">
        <f t="shared" si="16"/>
        <v>568.0852520125103</v>
      </c>
      <c r="L22" s="1092">
        <f t="shared" si="13"/>
        <v>-106.11455636033634</v>
      </c>
      <c r="M22" s="1090">
        <f t="shared" si="14"/>
        <v>-0.18679336593304044</v>
      </c>
    </row>
    <row r="23" spans="3:13">
      <c r="C23" s="1096" t="s">
        <v>2825</v>
      </c>
      <c r="D23" s="1081"/>
      <c r="E23" s="1086">
        <f>E11/E$6</f>
        <v>69.717027027027029</v>
      </c>
      <c r="F23" s="1097">
        <f>F11/F$6</f>
        <v>99.736363636363635</v>
      </c>
      <c r="G23" s="1086">
        <f t="shared" si="11"/>
        <v>-30.019336609336605</v>
      </c>
      <c r="H23" s="1085">
        <f t="shared" si="12"/>
        <v>-0.30098687695078175</v>
      </c>
      <c r="J23" s="1086">
        <f t="shared" ref="J23:K23" si="17">J11/J$6</f>
        <v>59.868869565217395</v>
      </c>
      <c r="K23" s="1097">
        <f t="shared" si="17"/>
        <v>121.16306818181816</v>
      </c>
      <c r="L23" s="1086">
        <f t="shared" si="13"/>
        <v>-61.294198616600767</v>
      </c>
      <c r="M23" s="1085">
        <f t="shared" si="14"/>
        <v>-0.50588186265324886</v>
      </c>
    </row>
    <row r="24" spans="3:13">
      <c r="C24" s="1091" t="s">
        <v>2400</v>
      </c>
      <c r="D24" s="1081"/>
      <c r="E24" s="1092">
        <f>E12/E$6</f>
        <v>379.07243243243238</v>
      </c>
      <c r="F24" s="1093">
        <f>F12/F$6</f>
        <v>353.14947491313416</v>
      </c>
      <c r="G24" s="1108">
        <f t="shared" si="11"/>
        <v>25.922957519298222</v>
      </c>
      <c r="H24" s="1100">
        <f t="shared" si="12"/>
        <v>7.3405057520401565E-2</v>
      </c>
      <c r="J24" s="1092">
        <f>J12/J$6</f>
        <v>402.10182608695658</v>
      </c>
      <c r="K24" s="1093">
        <f>K12/K$6</f>
        <v>446.92218383069212</v>
      </c>
      <c r="L24" s="1108">
        <f t="shared" si="13"/>
        <v>-44.820357743735542</v>
      </c>
      <c r="M24" s="1100">
        <f t="shared" si="14"/>
        <v>-0.10028671514930858</v>
      </c>
    </row>
    <row r="25" spans="3:13">
      <c r="C25" s="1096" t="s">
        <v>2826</v>
      </c>
      <c r="D25" s="1081"/>
      <c r="E25" s="1109">
        <f>E14/E$6</f>
        <v>25</v>
      </c>
      <c r="F25" s="1101">
        <f>F14/F$6</f>
        <v>25</v>
      </c>
      <c r="G25" s="1082">
        <f t="shared" si="11"/>
        <v>0</v>
      </c>
      <c r="H25" s="1090">
        <f t="shared" si="12"/>
        <v>0</v>
      </c>
      <c r="J25" s="1086">
        <f t="shared" ref="J25:K25" si="18">J14/J$6</f>
        <v>25</v>
      </c>
      <c r="K25" s="1101">
        <f t="shared" si="18"/>
        <v>25</v>
      </c>
      <c r="L25" s="1082">
        <f t="shared" si="13"/>
        <v>0</v>
      </c>
      <c r="M25" s="1090">
        <f t="shared" si="14"/>
        <v>0</v>
      </c>
    </row>
    <row r="26" spans="3:13">
      <c r="C26" s="1110" t="s">
        <v>2827</v>
      </c>
      <c r="D26" s="1081"/>
      <c r="E26" s="1108">
        <f>E15/E$6</f>
        <v>354.07243243243238</v>
      </c>
      <c r="F26" s="1111">
        <f>F15/F$6</f>
        <v>328.14947491313416</v>
      </c>
      <c r="G26" s="1108">
        <f>E26-F26</f>
        <v>25.922957519298222</v>
      </c>
      <c r="H26" s="1100">
        <f t="shared" si="12"/>
        <v>7.8997406673164419E-2</v>
      </c>
      <c r="J26" s="1108">
        <f>J15/J$6</f>
        <v>377.10182608695658</v>
      </c>
      <c r="K26" s="1111">
        <f>K15/K$6</f>
        <v>421.92218383069212</v>
      </c>
      <c r="L26" s="1108">
        <f>J26-K26</f>
        <v>-44.820357743735542</v>
      </c>
      <c r="M26" s="1100">
        <f t="shared" si="14"/>
        <v>-0.10622896700241043</v>
      </c>
    </row>
    <row r="27" spans="3:13">
      <c r="C27" s="1106"/>
      <c r="G27" s="1107"/>
      <c r="K27" s="1107"/>
    </row>
    <row r="29" spans="3:13">
      <c r="C29" s="1112" t="s">
        <v>2829</v>
      </c>
    </row>
    <row r="30" spans="3:13">
      <c r="C30" s="1113" t="s">
        <v>2830</v>
      </c>
      <c r="E30" s="1114" t="s">
        <v>2831</v>
      </c>
      <c r="F30" s="1115"/>
      <c r="G30" s="1116">
        <f>SUMIF(A37:A48,"X",E37:E48)*$G$33-E14</f>
        <v>0</v>
      </c>
      <c r="H30" s="1117" t="s">
        <v>2832</v>
      </c>
    </row>
    <row r="31" spans="3:13">
      <c r="C31" s="1118" t="s">
        <v>2843</v>
      </c>
      <c r="E31" s="1114" t="s">
        <v>2833</v>
      </c>
      <c r="F31" s="1115"/>
      <c r="G31" s="1116">
        <f>SUMIF(B37:B48,"X",E37:E48)*$G$33-J14</f>
        <v>0</v>
      </c>
      <c r="H31" s="1117" t="s">
        <v>2832</v>
      </c>
    </row>
    <row r="32" spans="3:13">
      <c r="C32" s="1113" t="s">
        <v>2834</v>
      </c>
    </row>
    <row r="33" spans="1:41">
      <c r="C33" s="1118" t="s">
        <v>2844</v>
      </c>
      <c r="E33" s="1238" t="s">
        <v>2835</v>
      </c>
      <c r="F33" s="1238"/>
      <c r="G33" s="1119">
        <v>25</v>
      </c>
    </row>
    <row r="35" spans="1:41">
      <c r="E35" s="1229" t="s">
        <v>2836</v>
      </c>
      <c r="F35" s="1230"/>
    </row>
    <row r="36" spans="1:41" ht="46.5" customHeight="1">
      <c r="A36" s="1120" t="s">
        <v>293</v>
      </c>
      <c r="B36" s="1120" t="s">
        <v>304</v>
      </c>
      <c r="C36" s="1121" t="s">
        <v>293</v>
      </c>
      <c r="D36" s="1115"/>
      <c r="E36" s="1122" t="s">
        <v>2818</v>
      </c>
      <c r="F36" s="1122" t="s">
        <v>2837</v>
      </c>
      <c r="G36" s="1123" t="s">
        <v>2838</v>
      </c>
      <c r="H36" s="1065" t="str">
        <f>+IF(Parametres!$B$3=H$38,"X","")</f>
        <v/>
      </c>
      <c r="I36" s="1068" t="str">
        <f>+IF(Parametres!$B$3=I$38,"X","")</f>
        <v/>
      </c>
      <c r="J36" s="1068" t="str">
        <f>+IF(Parametres!$B$3=J$38,"X","")</f>
        <v/>
      </c>
      <c r="K36" s="1068" t="str">
        <f>+IF(Parametres!$B$3=K$38,"X","")</f>
        <v/>
      </c>
      <c r="L36" s="1068" t="str">
        <f>+IF(Parametres!$B$3=L$38,"X","")</f>
        <v/>
      </c>
      <c r="M36" s="1068" t="str">
        <f>+IF(Parametres!$B$3=M$38,"X","")</f>
        <v/>
      </c>
      <c r="N36" s="1068" t="str">
        <f>+IF(Parametres!$B$3=N$38,"X","")</f>
        <v/>
      </c>
      <c r="O36" s="1068" t="str">
        <f>+IF(Parametres!$B$3=O$38,"X","")</f>
        <v/>
      </c>
      <c r="P36" s="1068" t="str">
        <f>+IF(Parametres!$B$3=P$38,"X","")</f>
        <v/>
      </c>
      <c r="Q36" s="1068" t="str">
        <f>+IF(Parametres!$B$3=Q$38,"X","")</f>
        <v/>
      </c>
      <c r="R36" s="1065" t="str">
        <f>+IF(Parametres!$B$3=R$38,"X","")</f>
        <v/>
      </c>
      <c r="S36" s="1065" t="str">
        <f>+IF(Parametres!$B$3=S$38,"X","")</f>
        <v/>
      </c>
      <c r="U36" s="1065" t="str">
        <f>+IF(Parametres!$B$3=N$7,"X","")</f>
        <v/>
      </c>
      <c r="V36" s="1065" t="str">
        <f>+IF(Parametres!$B$3=N$7,"O","")</f>
        <v/>
      </c>
      <c r="W36" s="1065" t="str">
        <f>+IF(Parametres!$B$3=N$7,"U","")</f>
        <v/>
      </c>
      <c r="X36" s="1065" t="str">
        <f>+IF(Parametres!$B$3=Q$7,"X","")</f>
        <v/>
      </c>
      <c r="Y36" s="1065" t="str">
        <f>+IF(Parametres!$B$3=Q$7,"O","")</f>
        <v/>
      </c>
      <c r="Z36" s="1065" t="str">
        <f>+IF(Parametres!$B$3=Q$7,"U","")</f>
        <v/>
      </c>
      <c r="AA36" s="1065" t="str">
        <f>+IF(Parametres!$B$3=T$7,"X","")</f>
        <v/>
      </c>
      <c r="AB36" s="1065" t="str">
        <f>+IF(Parametres!$B$3=T$7,"O","")</f>
        <v/>
      </c>
      <c r="AC36" s="1065" t="str">
        <f>+IF(Parametres!$B$3=T$7,"U","")</f>
        <v/>
      </c>
      <c r="AD36" s="1065" t="str">
        <f>+IF(Parametres!$B$3=W$7,"X","")</f>
        <v/>
      </c>
      <c r="AE36" s="1065" t="str">
        <f>+IF(Parametres!$B$3=W$7,"O","")</f>
        <v/>
      </c>
      <c r="AF36" s="1065" t="str">
        <f>+IF(Parametres!$B$3=W$7,"U","")</f>
        <v/>
      </c>
      <c r="AG36" s="1065" t="str">
        <f>+IF(Parametres!$B$3=Z$7,"X","")</f>
        <v/>
      </c>
      <c r="AH36" s="1065" t="str">
        <f>+IF(Parametres!$B$3=Z$7,"O","")</f>
        <v/>
      </c>
      <c r="AI36" s="1065" t="str">
        <f>+IF(Parametres!$B$3=Z$7,"U","")</f>
        <v/>
      </c>
      <c r="AJ36" s="1065" t="str">
        <f>+IF(Parametres!$B$3=AC$7,"X","")</f>
        <v/>
      </c>
      <c r="AK36" s="1065" t="str">
        <f>+IF(Parametres!$B$3=AC$7,"O","")</f>
        <v/>
      </c>
      <c r="AL36" s="1065" t="str">
        <f>+IF(Parametres!$B$3=AC$7,"U","")</f>
        <v/>
      </c>
      <c r="AM36" s="1065" t="str">
        <f>+IF(Parametres!$B$3=AF$7,"X","")</f>
        <v/>
      </c>
      <c r="AN36" s="1065" t="str">
        <f>+IF(Parametres!$B$3=AF$7,"O","")</f>
        <v/>
      </c>
      <c r="AO36" s="1065" t="str">
        <f>+IF(Parametres!$B$3=AF$7,"U","")</f>
        <v/>
      </c>
    </row>
    <row r="37" spans="1:41">
      <c r="A37" s="1124" t="str">
        <f>+IF(Parametres!$B$3=$C37,"X","")</f>
        <v/>
      </c>
      <c r="B37" s="1124" t="str">
        <f>+IF(VLOOKUP($C37,Parametres!$K$3:$N$14,4,0)="X","X","")</f>
        <v>X</v>
      </c>
      <c r="C37" s="1125" t="s">
        <v>294</v>
      </c>
      <c r="E37" s="1126">
        <v>14</v>
      </c>
      <c r="F37" s="1126">
        <v>22</v>
      </c>
      <c r="G37" s="1126">
        <v>2662.04</v>
      </c>
      <c r="H37" s="1065"/>
      <c r="I37" s="1065"/>
      <c r="J37" s="1065"/>
      <c r="K37" s="1065"/>
      <c r="L37" s="1065"/>
      <c r="M37" s="1065"/>
    </row>
    <row r="38" spans="1:41">
      <c r="A38" s="1124" t="str">
        <f>+IF(Parametres!$B$3=$C38,"X","")</f>
        <v/>
      </c>
      <c r="B38" s="1124" t="str">
        <f>+IF(VLOOKUP($C38,Parametres!$K$3:$N$14,4,0)="X","X","")</f>
        <v>X</v>
      </c>
      <c r="C38" s="1127" t="s">
        <v>295</v>
      </c>
      <c r="E38" s="1126">
        <v>34</v>
      </c>
      <c r="F38" s="1126">
        <v>22</v>
      </c>
      <c r="G38" s="1126">
        <v>2686.35</v>
      </c>
      <c r="H38" s="1065"/>
      <c r="I38" s="1065"/>
      <c r="J38" s="1065"/>
      <c r="K38" s="1065"/>
      <c r="L38" s="1065"/>
      <c r="M38" s="1065"/>
    </row>
    <row r="39" spans="1:41">
      <c r="A39" s="1065" t="str">
        <f>+IF(Parametres!$B$3=$C39,"X","")</f>
        <v/>
      </c>
      <c r="B39" s="1065" t="str">
        <f>+IF(VLOOKUP($C39,Parametres!$K$3:$N$14,4,0)="X","X","")</f>
        <v>X</v>
      </c>
      <c r="C39" s="1127" t="s">
        <v>296</v>
      </c>
      <c r="E39" s="1126">
        <v>30</v>
      </c>
      <c r="F39" s="1126">
        <v>22</v>
      </c>
      <c r="G39" s="1126">
        <v>3119.76</v>
      </c>
      <c r="H39" s="1065"/>
      <c r="I39" s="1065"/>
      <c r="J39" s="1065"/>
      <c r="K39" s="1065"/>
      <c r="L39" s="1065"/>
      <c r="M39" s="1065"/>
    </row>
    <row r="40" spans="1:41">
      <c r="A40" s="1065" t="str">
        <f>+IF(Parametres!$B$3=$C40,"X","")</f>
        <v>X</v>
      </c>
      <c r="B40" s="1065" t="str">
        <f>+IF(VLOOKUP($C40,Parametres!$K$3:$N$14,4,0)="X","X","")</f>
        <v>X</v>
      </c>
      <c r="C40" s="1127" t="s">
        <v>297</v>
      </c>
      <c r="E40" s="1126">
        <v>37</v>
      </c>
      <c r="F40" s="1126">
        <v>22</v>
      </c>
      <c r="G40" s="1126">
        <v>2194.1999999999998</v>
      </c>
      <c r="H40" s="1065"/>
      <c r="I40" s="1065"/>
      <c r="J40" s="1065"/>
      <c r="K40" s="1065"/>
      <c r="L40" s="1065"/>
      <c r="M40" s="1065"/>
    </row>
    <row r="41" spans="1:41">
      <c r="A41" s="1065" t="str">
        <f>+IF(Parametres!$B$3=$C41,"X","")</f>
        <v/>
      </c>
      <c r="B41" s="1065" t="str">
        <f>+IF(VLOOKUP($C41,Parametres!$K$3:$N$14,4,0)="X","X","")</f>
        <v/>
      </c>
      <c r="C41" s="1127" t="s">
        <v>298</v>
      </c>
      <c r="E41" s="1126"/>
      <c r="F41" s="1126">
        <v>22</v>
      </c>
      <c r="G41" s="1126">
        <v>3569.08</v>
      </c>
      <c r="H41" s="1065"/>
      <c r="I41" s="1065"/>
      <c r="J41" s="1065"/>
      <c r="K41" s="1065"/>
      <c r="L41" s="1065"/>
      <c r="M41" s="1065"/>
    </row>
    <row r="42" spans="1:41">
      <c r="A42" s="1065" t="str">
        <f>+IF(Parametres!$B$3=$C42,"X","")</f>
        <v/>
      </c>
      <c r="B42" s="1065" t="str">
        <f>+IF(VLOOKUP($C42,Parametres!$K$3:$N$14,4,0)="X","X","")</f>
        <v/>
      </c>
      <c r="C42" s="1127" t="s">
        <v>284</v>
      </c>
      <c r="E42" s="1126"/>
      <c r="F42" s="1126">
        <v>22</v>
      </c>
      <c r="G42" s="1126">
        <v>2969.14</v>
      </c>
      <c r="N42" s="1068"/>
      <c r="O42" s="1068"/>
      <c r="P42" s="1068"/>
      <c r="Q42" s="1068"/>
      <c r="R42" s="1115"/>
      <c r="S42" s="1115"/>
    </row>
    <row r="43" spans="1:41">
      <c r="A43" s="1065" t="str">
        <f>+IF(Parametres!$B$3=$C43,"X","")</f>
        <v/>
      </c>
      <c r="B43" s="1065" t="str">
        <f>+IF(VLOOKUP($C43,Parametres!$K$3:$N$14,4,0)="X","X","")</f>
        <v/>
      </c>
      <c r="C43" s="1127" t="s">
        <v>299</v>
      </c>
      <c r="E43" s="1126"/>
      <c r="F43" s="1126">
        <v>22</v>
      </c>
      <c r="G43" s="1126">
        <v>2322.39</v>
      </c>
      <c r="N43" s="1068"/>
      <c r="O43" s="1068"/>
      <c r="P43" s="1068"/>
      <c r="Q43" s="1068"/>
      <c r="R43" s="1115"/>
      <c r="S43" s="1115"/>
    </row>
    <row r="44" spans="1:41">
      <c r="A44" s="1065" t="str">
        <f>+IF(Parametres!$B$3=$C44,"X","")</f>
        <v/>
      </c>
      <c r="B44" s="1065" t="str">
        <f>+IF(VLOOKUP($C44,Parametres!$K$3:$N$14,4,0)="X","X","")</f>
        <v/>
      </c>
      <c r="C44" s="1127" t="s">
        <v>300</v>
      </c>
      <c r="E44" s="1126"/>
      <c r="F44" s="1126">
        <v>22</v>
      </c>
      <c r="G44" s="1126">
        <v>2796.57</v>
      </c>
      <c r="H44" s="1115"/>
      <c r="I44" s="1116"/>
      <c r="N44" s="1068"/>
      <c r="O44" s="1068"/>
      <c r="P44" s="1068"/>
      <c r="Q44" s="1068"/>
      <c r="R44" s="1115"/>
      <c r="S44" s="1115"/>
    </row>
    <row r="45" spans="1:41">
      <c r="A45" s="1065" t="str">
        <f>+IF(Parametres!$B$3=$C45,"X","")</f>
        <v/>
      </c>
      <c r="B45" s="1065" t="str">
        <f>+IF(VLOOKUP($C45,Parametres!$K$3:$N$14,4,0)="X","X","")</f>
        <v/>
      </c>
      <c r="C45" s="1127" t="s">
        <v>3</v>
      </c>
      <c r="E45" s="1126"/>
      <c r="F45" s="1126">
        <v>22</v>
      </c>
      <c r="G45" s="1126">
        <v>3451.22</v>
      </c>
      <c r="H45" s="1115"/>
      <c r="I45" s="1116"/>
      <c r="N45" s="1068"/>
      <c r="O45" s="1068"/>
      <c r="P45" s="1068"/>
      <c r="Q45" s="1068"/>
      <c r="R45" s="1115"/>
      <c r="S45" s="1115"/>
    </row>
    <row r="46" spans="1:41" ht="18" customHeight="1">
      <c r="A46" s="1065" t="str">
        <f>+IF(Parametres!$B$3=$C46,"X","")</f>
        <v/>
      </c>
      <c r="B46" s="1065" t="str">
        <f>+IF(VLOOKUP($C46,Parametres!$K$3:$N$14,4,0)="X","X","")</f>
        <v/>
      </c>
      <c r="C46" s="1127" t="s">
        <v>301</v>
      </c>
      <c r="E46" s="1126"/>
      <c r="F46" s="1126">
        <v>22</v>
      </c>
      <c r="G46" s="1126">
        <v>2901.53</v>
      </c>
      <c r="H46" s="1115"/>
      <c r="I46" s="1116"/>
      <c r="N46" s="1068"/>
      <c r="O46" s="1068"/>
      <c r="P46" s="1068"/>
      <c r="Q46" s="1068"/>
      <c r="R46" s="1115"/>
      <c r="S46" s="1115"/>
    </row>
    <row r="47" spans="1:41">
      <c r="A47" s="1065" t="str">
        <f>+IF(Parametres!$B$3=$C47,"X","")</f>
        <v/>
      </c>
      <c r="B47" s="1065" t="str">
        <f>+IF(VLOOKUP($C47,Parametres!$K$3:$N$14,4,0)="X","X","")</f>
        <v/>
      </c>
      <c r="C47" s="1128" t="s">
        <v>302</v>
      </c>
      <c r="E47" s="1126"/>
      <c r="F47" s="1126">
        <v>22</v>
      </c>
      <c r="G47" s="1126">
        <v>2924.65</v>
      </c>
    </row>
    <row r="48" spans="1:41">
      <c r="A48" s="1065" t="str">
        <f>+IF(Parametres!$B$3=$C48,"X","")</f>
        <v/>
      </c>
      <c r="B48" s="1065" t="str">
        <f>+IF(VLOOKUP($C48,Parametres!$K$3:$N$14,4,0)="X","X","")</f>
        <v/>
      </c>
      <c r="C48" s="1129" t="s">
        <v>303</v>
      </c>
      <c r="E48" s="1130"/>
      <c r="F48" s="1126">
        <v>22</v>
      </c>
      <c r="G48" s="113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M434" zoomScale="70" zoomScaleNormal="70" workbookViewId="0">
      <selection activeCell="AG22" sqref="AG22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Avril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39" t="s">
        <v>77</v>
      </c>
      <c r="E3" s="1240"/>
      <c r="F3" s="1241"/>
      <c r="G3" s="1244"/>
      <c r="H3" s="1240"/>
      <c r="I3" s="1241"/>
      <c r="J3" s="1244" t="s">
        <v>78</v>
      </c>
      <c r="K3" s="1240"/>
      <c r="L3" s="1241"/>
      <c r="M3" s="1244" t="s">
        <v>2443</v>
      </c>
      <c r="N3" s="1241"/>
      <c r="O3" s="1239" t="s">
        <v>79</v>
      </c>
      <c r="P3" s="1240"/>
      <c r="Q3" s="1241"/>
      <c r="R3" s="1242" t="s">
        <v>2447</v>
      </c>
      <c r="S3" s="124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3027277.1386981602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2822748.8100000005</v>
      </c>
      <c r="M5" s="373"/>
      <c r="N5" s="374"/>
      <c r="O5" s="283"/>
      <c r="P5" s="189"/>
      <c r="Q5" s="182">
        <f t="array" ref="Q5">+INDEX('Réel 2024'!$A$2:$AO$501,MATCH($A5,'Réel 2024'!$A$2:$A$501,0),MATCH(Q$2,'Réel 2024'!$A$2:$AO$2,0))</f>
        <v>2814437.6399999899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10</v>
      </c>
      <c r="E6" s="184">
        <f>IF(D6=0,0,F6/D6)</f>
        <v>4306.395348837209</v>
      </c>
      <c r="F6" s="184">
        <f>+INDEX('Budget original'!$A$2:$AO$501,MATCH($A6,'Budget original'!$A$2:$A$501,0),MATCH(F$2,'Budget original'!$A$2:$AO$2,0))</f>
        <v>43063.953488372092</v>
      </c>
      <c r="G6" s="187"/>
      <c r="H6" s="184"/>
      <c r="I6" s="184"/>
      <c r="J6" s="187">
        <f>-SUMIFS(BV_Data_An_Cour!$O:$O,BV_Data_An_Cour!$U:$U,$B6,BV_Data_An_Cour!$V:$V,$C6,BV_Data_An_Cour!$W:$W,J$2)</f>
        <v>6</v>
      </c>
      <c r="K6" s="184">
        <f>IF(J6=0,0,L6/J6)</f>
        <v>6338.2116666666507</v>
      </c>
      <c r="L6" s="478">
        <f>-SUMIFS(BV_Data_An_Cour!$O:$O,BV_Data_An_Cour!$U:$U,$B6,BV_Data_An_Cour!$V:$V,$C6,BV_Data_An_Cour!$W:$W,L$2)</f>
        <v>38029.269999999902</v>
      </c>
      <c r="M6" s="187">
        <f t="shared" ref="M6:M12" si="2">J6-D6</f>
        <v>-4</v>
      </c>
      <c r="N6" s="185">
        <f t="shared" ref="N6:N12" si="3">L6-F6</f>
        <v>-5034.6834883721895</v>
      </c>
      <c r="O6" s="187">
        <f>+INDEX('Réel 2024'!$A$2:$AO$501,MATCH($A6,'Réel 2024'!$A$2:$A$501,0),MATCH(O$2,'Réel 2024'!$A$2:$AO$2,0))</f>
        <v>13</v>
      </c>
      <c r="P6" s="184">
        <f t="shared" ref="P6:P12" si="4">IF(O6=0,0,Q6/O6)</f>
        <v>5336.7323076923158</v>
      </c>
      <c r="Q6" s="478">
        <f t="array" ref="Q6">+INDEX('Réel 2024'!$A$2:$AO$501,MATCH($A6,'Réel 2024'!$A$2:$A$501,0),MATCH(Q$2,'Réel 2024'!$A$2:$AO$2,0))</f>
        <v>69377.520000000106</v>
      </c>
      <c r="R6" s="187">
        <f>J6-O6</f>
        <v>-7</v>
      </c>
      <c r="S6" s="350">
        <f>L6-Q6</f>
        <v>-31348.250000000204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18</v>
      </c>
      <c r="E7" s="184">
        <f t="shared" ref="E7:E12" si="5">IF(D7=0,0,F7/D7)</f>
        <v>4000.331125827814</v>
      </c>
      <c r="F7" s="184">
        <f>+INDEX('Budget original'!$A$2:$AO$501,MATCH($A7,'Budget original'!$A$2:$A$501,0),MATCH(F$2,'Budget original'!$A$2:$AO$2,0))</f>
        <v>72005.960264900656</v>
      </c>
      <c r="G7" s="187"/>
      <c r="H7" s="184"/>
      <c r="I7" s="184"/>
      <c r="J7" s="187">
        <f>-SUMIFS(BV_Data_An_Cour!$O:$O,BV_Data_An_Cour!$U:$U,$B7,BV_Data_An_Cour!$V:$V,$C7,BV_Data_An_Cour!$W:$W,J$2)</f>
        <v>15</v>
      </c>
      <c r="K7" s="184">
        <f t="shared" ref="K7:K12" si="6">IF(J7=0,0,L7/J7)</f>
        <v>4719.5126666666711</v>
      </c>
      <c r="L7" s="478">
        <f>-SUMIFS(BV_Data_An_Cour!$O:$O,BV_Data_An_Cour!$U:$U,$B7,BV_Data_An_Cour!$V:$V,$C7,BV_Data_An_Cour!$W:$W,L$2)</f>
        <v>70792.690000000061</v>
      </c>
      <c r="M7" s="187">
        <f t="shared" si="2"/>
        <v>-3</v>
      </c>
      <c r="N7" s="185">
        <f t="shared" si="3"/>
        <v>-1213.2702649005951</v>
      </c>
      <c r="O7" s="187">
        <f t="array" ref="O7">+INDEX('Réel 2024'!$A$2:$AO$501,MATCH($A7,'Réel 2024'!$A$2:$A$501,0),MATCH(O$2,'Réel 2024'!$A$2:$AO$2,0))</f>
        <v>12</v>
      </c>
      <c r="P7" s="184">
        <f t="shared" si="4"/>
        <v>4634.92</v>
      </c>
      <c r="Q7" s="478">
        <f t="array" ref="Q7">+INDEX('Réel 2024'!$A$2:$AO$501,MATCH($A7,'Réel 2024'!$A$2:$A$501,0),MATCH(Q$2,'Réel 2024'!$A$2:$AO$2,0))</f>
        <v>55619.040000000001</v>
      </c>
      <c r="R7" s="187">
        <f t="shared" ref="R7:R12" si="7">J7-O7</f>
        <v>3</v>
      </c>
      <c r="S7" s="350">
        <f t="shared" ref="S7:S12" si="8">L7-Q7</f>
        <v>15173.65000000006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2024'!$A$2:$AO$501,MATCH($A8,'Réel 2024'!$A$2:$A$501,0),MATCH(O$2,'Réel 2024'!$A$2:$AO$2,0))</f>
        <v>0</v>
      </c>
      <c r="P8" s="184">
        <f t="shared" si="4"/>
        <v>0</v>
      </c>
      <c r="Q8" s="478">
        <f t="array" ref="Q8">+INDEX('Réel 2024'!$A$2:$AO$501,MATCH($A8,'Réel 2024'!$A$2:$A$501,0),MATCH(Q$2,'Réel 2024'!$A$2:$AO$2,0))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2024'!$A$2:$AO$501,MATCH($A9,'Réel 2024'!$A$2:$A$501,0),MATCH(O$2,'Réel 2024'!$A$2:$AO$2,0))</f>
        <v>0</v>
      </c>
      <c r="P9" s="184">
        <f t="shared" si="4"/>
        <v>0</v>
      </c>
      <c r="Q9" s="478">
        <f t="array" ref="Q9">+INDEX('Réel 2024'!$A$2:$AO$501,MATCH($A9,'Réel 2024'!$A$2:$A$501,0),MATCH(Q$2,'Réel 2024'!$A$2:$AO$2,0))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2024'!$A$2:$AO$501,MATCH($A10,'Réel 2024'!$A$2:$A$501,0),MATCH(O$2,'Réel 2024'!$A$2:$AO$2,0))</f>
        <v>0</v>
      </c>
      <c r="P10" s="184">
        <f t="shared" si="4"/>
        <v>0</v>
      </c>
      <c r="Q10" s="478">
        <f t="array" ref="Q10">+INDEX('Réel 2024'!$A$2:$AO$501,MATCH($A10,'Réel 2024'!$A$2:$A$501,0),MATCH(Q$2,'Réel 2024'!$A$2:$AO$2,0))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2024'!$A$2:$AO$501,MATCH($A11,'Réel 2024'!$A$2:$A$501,0),MATCH(O$2,'Réel 2024'!$A$2:$AO$2,0))</f>
        <v>0</v>
      </c>
      <c r="P11" s="184">
        <f t="shared" si="4"/>
        <v>0</v>
      </c>
      <c r="Q11" s="478">
        <f t="array" ref="Q11">+INDEX('Réel 2024'!$A$2:$AO$501,MATCH($A11,'Réel 2024'!$A$2:$A$501,0),MATCH(Q$2,'Réel 2024'!$A$2:$AO$2,0))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2024'!$A$2:$AO$501,MATCH($A12,'Réel 2024'!$A$2:$A$501,0),MATCH(O$2,'Réel 2024'!$A$2:$AO$2,0))</f>
        <v>0</v>
      </c>
      <c r="P12" s="184">
        <f t="shared" si="4"/>
        <v>0</v>
      </c>
      <c r="Q12" s="478">
        <f t="array" ref="Q12">+INDEX('Réel 2024'!$A$2:$AO$501,MATCH($A12,'Réel 2024'!$A$2:$A$501,0),MATCH(Q$2,'Réel 2024'!$A$2:$AO$2,0))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28</v>
      </c>
      <c r="E13" s="351">
        <f>IF(D13&lt;=0,0,F13/D13)</f>
        <v>4109.639776902598</v>
      </c>
      <c r="F13" s="352">
        <f>+SUM(F6:F12)</f>
        <v>115069.91375327275</v>
      </c>
      <c r="G13" s="353"/>
      <c r="H13" s="351"/>
      <c r="I13" s="352"/>
      <c r="J13" s="353">
        <f>+SUM(J6:J12)</f>
        <v>21</v>
      </c>
      <c r="K13" s="351">
        <f>IF(J13&lt;=0,0,L13/J13)</f>
        <v>5181.9980952380938</v>
      </c>
      <c r="L13" s="352">
        <f>+SUM(L6:L12)</f>
        <v>108821.95999999996</v>
      </c>
      <c r="M13" s="353">
        <f>+SUM(M6:M12)</f>
        <v>-7</v>
      </c>
      <c r="N13" s="352">
        <f t="shared" ref="N13" si="9">+SUM(N6:N12)</f>
        <v>-6247.9537532727845</v>
      </c>
      <c r="O13" s="353">
        <f>+SUM(O6:O12)</f>
        <v>25</v>
      </c>
      <c r="P13" s="351">
        <f>IF(O13&lt;=0,0,Q13/O13)</f>
        <v>4999.8624000000045</v>
      </c>
      <c r="Q13" s="352">
        <f t="shared" ref="Q13" si="10">+SUM(Q6:Q12)</f>
        <v>124996.56000000011</v>
      </c>
      <c r="R13" s="353">
        <f>+SUM(R6:R12)</f>
        <v>-4</v>
      </c>
      <c r="S13" s="354">
        <f>+SUM(S6:S12)</f>
        <v>-16174.600000000144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-0.25</v>
      </c>
      <c r="N14" s="239">
        <f>IF(F13=0,0,N13/F13)</f>
        <v>-5.4297022996552688E-2</v>
      </c>
      <c r="O14" s="228"/>
      <c r="P14" s="184"/>
      <c r="Q14" s="270"/>
      <c r="R14" s="240">
        <f>R13/O13</f>
        <v>-0.16</v>
      </c>
      <c r="S14" s="267">
        <f>IF(Q13=0,0,(S13/Q13))</f>
        <v>-0.12940036109793845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4</v>
      </c>
      <c r="E15" s="189">
        <f>IF(D15=0,0,F15/D15)</f>
        <v>750</v>
      </c>
      <c r="F15" s="182">
        <f>+INDEX('Budget original'!$A$2:$AO$501,MATCH($A15,'Budget original'!$A$2:$A$501,0),MATCH(F$2,'Budget original'!$A$2:$AO$2,0))</f>
        <v>3000</v>
      </c>
      <c r="G15" s="188"/>
      <c r="H15" s="357"/>
      <c r="I15" s="355"/>
      <c r="J15" s="471">
        <f>-SUMIFS(BV_Data_An_Cour!$O:$O,BV_Data_An_Cour!$U:$U,$B15,BV_Data_An_Cour!$V:$V,$C15,BV_Data_An_Cour!$W:$W,J$2)</f>
        <v>8</v>
      </c>
      <c r="K15" s="472">
        <f>IF(J15=0,0,L15/J15)</f>
        <v>2225.179999999993</v>
      </c>
      <c r="L15" s="472">
        <f>-SUMIFS(BV_Data_An_Cour!$O:$O,BV_Data_An_Cour!$U:$U,$B15,BV_Data_An_Cour!$V:$V,$C15,BV_Data_An_Cour!$W:$W,L$2)</f>
        <v>17801.439999999944</v>
      </c>
      <c r="M15" s="356">
        <f>J15-D15</f>
        <v>4</v>
      </c>
      <c r="N15" s="355">
        <f>L15-F15</f>
        <v>14801.439999999944</v>
      </c>
      <c r="O15" s="471">
        <f t="array" ref="O15">+INDEX('Réel 2024'!$A$2:$AO$501,MATCH($A15,'Réel 2024'!$A$2:$A$501,0),MATCH(O$2,'Réel 2024'!$A$2:$AO$2,0))</f>
        <v>5</v>
      </c>
      <c r="P15" s="472">
        <f>IF(O15=0,0,Q15/O15)</f>
        <v>3098.8779999999997</v>
      </c>
      <c r="Q15" s="472">
        <f t="array" ref="Q15">+INDEX('Réel 2024'!$A$2:$AO$501,MATCH($A15,'Réel 2024'!$A$2:$A$501,0),MATCH(Q$2,'Réel 2024'!$A$2:$AO$2,0))</f>
        <v>15494.39</v>
      </c>
      <c r="R15" s="356">
        <f>J15-O15</f>
        <v>3</v>
      </c>
      <c r="S15" s="377">
        <f>L15-Q15</f>
        <v>2307.0499999999447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1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-1</v>
      </c>
      <c r="N17" s="185">
        <f>L17-F17</f>
        <v>0</v>
      </c>
      <c r="O17" s="356">
        <f t="array" ref="O17">+INDEX('Réel 2024'!$A$2:$AO$501,MATCH($A17,'Réel 2024'!$A$2:$A$501,0),MATCH(O$2,'Réel 2024'!$A$2:$AO$2,0))</f>
        <v>0</v>
      </c>
      <c r="P17" s="184">
        <f>IF(O17=0,0,Q17/O17)</f>
        <v>0</v>
      </c>
      <c r="Q17" s="185">
        <f t="array" ref="Q17">+INDEX('Réel 2024'!$A$2:$AO$501,MATCH($A17,'Réel 2024'!$A$2:$A$501,0),MATCH(Q$2,'Réel 2024'!$A$2:$AO$2,0))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3500.0986408471085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3995.3899999999849</v>
      </c>
      <c r="M19" s="187"/>
      <c r="N19" s="185">
        <f>L19-F19</f>
        <v>495.29135915287634</v>
      </c>
      <c r="O19" s="188"/>
      <c r="P19" s="184"/>
      <c r="Q19" s="185">
        <f t="array" ref="Q19">+INDEX('Réel 2024'!$A$2:$AO$501,MATCH($A19,'Réel 2024'!$A$2:$A$501,0),MATCH(Q$2,'Réel 2024'!$A$2:$AO$2,0))</f>
        <v>3495.3899999999899</v>
      </c>
      <c r="R19" s="187">
        <f>O19-K19</f>
        <v>0</v>
      </c>
      <c r="S19" s="350">
        <f>L19-Q19</f>
        <v>499.999999999995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800</v>
      </c>
      <c r="G21" s="228"/>
      <c r="H21" s="184"/>
      <c r="I21" s="184"/>
      <c r="J21" s="187"/>
      <c r="K21" s="184">
        <f>IF(J13=0,0,L21/(J13+J15))</f>
        <v>16.962413793103448</v>
      </c>
      <c r="L21" s="185">
        <f>-SUMIFS(BV_Data_An_Cour!$O:$O,BV_Data_An_Cour!$U:$U,$B21,BV_Data_An_Cour!$V:$V,$C21,BV_Data_An_Cour!$W:$W,L$2)</f>
        <v>491.91</v>
      </c>
      <c r="M21" s="187"/>
      <c r="N21" s="185">
        <f>L21-F21</f>
        <v>-308.08999999999997</v>
      </c>
      <c r="O21" s="187"/>
      <c r="P21" s="184"/>
      <c r="Q21" s="185">
        <f t="array" ref="Q21">+INDEX('Réel 2024'!$A$2:$AO$501,MATCH($A21,'Réel 2024'!$A$2:$A$501,0),MATCH(Q$2,'Réel 2024'!$A$2:$AO$2,0))</f>
        <v>0</v>
      </c>
      <c r="R21" s="187">
        <f>O21-K21</f>
        <v>-16.962413793103448</v>
      </c>
      <c r="S21" s="350">
        <f>L21-Q21</f>
        <v>491.91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36800</v>
      </c>
      <c r="G22" s="228"/>
      <c r="H22" s="184"/>
      <c r="I22" s="184"/>
      <c r="J22" s="187"/>
      <c r="K22" s="184">
        <f>IF(J13=0,0,L22/(J13+J15))</f>
        <v>1674.7851724137931</v>
      </c>
      <c r="L22" s="185">
        <f>-SUMIFS(BV_Data_An_Cour!$O:$O,BV_Data_An_Cour!$U:$U,$B22,BV_Data_An_Cour!$V:$V,$C22,BV_Data_An_Cour!$W:$W,L$2)</f>
        <v>48568.770000000004</v>
      </c>
      <c r="M22" s="187"/>
      <c r="N22" s="185">
        <f>L22-F22</f>
        <v>11768.770000000004</v>
      </c>
      <c r="O22" s="187"/>
      <c r="P22" s="184"/>
      <c r="Q22" s="185">
        <f t="array" ref="Q22">+INDEX('Réel 2024'!$A$2:$AO$501,MATCH($A22,'Réel 2024'!$A$2:$A$501,0),MATCH(Q$2,'Réel 2024'!$A$2:$AO$2,0))</f>
        <v>38800.239999999998</v>
      </c>
      <c r="R22" s="187">
        <f>O22-K22</f>
        <v>-1674.7851724137931</v>
      </c>
      <c r="S22" s="350">
        <f>L22-Q22</f>
        <v>9768.5300000000061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15360</v>
      </c>
      <c r="G23" s="228"/>
      <c r="H23" s="184"/>
      <c r="I23" s="184"/>
      <c r="J23" s="187"/>
      <c r="K23" s="184">
        <f>IF(J13=0,0,L23/(J13+J15))</f>
        <v>843.75827586206901</v>
      </c>
      <c r="L23" s="185">
        <f>-SUMIFS(BV_Data_An_Cour!$O:$O,BV_Data_An_Cour!$U:$U,$B23,BV_Data_An_Cour!$V:$V,$C23,BV_Data_An_Cour!$W:$W,L$2)</f>
        <v>24468.99</v>
      </c>
      <c r="M23" s="356"/>
      <c r="N23" s="185">
        <f>L23-F23</f>
        <v>9108.9900000000016</v>
      </c>
      <c r="O23" s="187"/>
      <c r="P23" s="184"/>
      <c r="Q23" s="185">
        <f t="array" ref="Q23">+INDEX('Réel 2024'!$A$2:$AO$501,MATCH($A23,'Réel 2024'!$A$2:$A$501,0),MATCH(Q$2,'Réel 2024'!$A$2:$AO$2,0))</f>
        <v>13459.04</v>
      </c>
      <c r="R23" s="187">
        <f>O23-K23</f>
        <v>-843.75827586206901</v>
      </c>
      <c r="S23" s="350">
        <f>L23-Q23</f>
        <v>11009.95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32</v>
      </c>
      <c r="E24" s="351">
        <f>IF(D24&lt;=0,0,F24/D24)</f>
        <v>1655</v>
      </c>
      <c r="F24" s="352">
        <f>F21+F22+F23</f>
        <v>52960</v>
      </c>
      <c r="G24" s="353"/>
      <c r="H24" s="351"/>
      <c r="I24" s="352"/>
      <c r="J24" s="353">
        <f>+J15+J13</f>
        <v>29</v>
      </c>
      <c r="K24" s="351">
        <f>IF(J24&lt;=0,0,L24/J24)</f>
        <v>2535.5058620689661</v>
      </c>
      <c r="L24" s="352">
        <f>L21+L22+L23</f>
        <v>73529.670000000013</v>
      </c>
      <c r="M24" s="381">
        <f>J24-D24</f>
        <v>-3</v>
      </c>
      <c r="N24" s="352">
        <f>L24-F24</f>
        <v>20569.670000000013</v>
      </c>
      <c r="O24" s="353">
        <f>+O15+O13</f>
        <v>30</v>
      </c>
      <c r="P24" s="351">
        <f>IF(O24&lt;=0,0,Q24/O24)</f>
        <v>1741.9759999999999</v>
      </c>
      <c r="Q24" s="352">
        <f>Q21+Q22+Q23</f>
        <v>52259.28</v>
      </c>
      <c r="R24" s="361"/>
      <c r="S24" s="354">
        <f>L24-Q24</f>
        <v>21270.390000000014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0.38840011329305157</v>
      </c>
      <c r="O25" s="228"/>
      <c r="P25" s="183"/>
      <c r="Q25" s="230"/>
      <c r="R25" s="229"/>
      <c r="S25" s="267">
        <f>IF(Q24=0,0,(S24/Q24))</f>
        <v>0.40701651457884636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33</v>
      </c>
      <c r="E27" s="27">
        <f>IF(D27&lt;=0,0,F27/D27)</f>
        <v>5288.7882543672677</v>
      </c>
      <c r="F27" s="28">
        <f>F13+F17+F24+F19+F15</f>
        <v>174530.01239411984</v>
      </c>
      <c r="G27" s="29"/>
      <c r="H27" s="30"/>
      <c r="I27" s="28"/>
      <c r="J27" s="29">
        <f>+J13+J15+J17</f>
        <v>29</v>
      </c>
      <c r="K27" s="30">
        <f>IF(J27&lt;=0,0,L27/J27)</f>
        <v>7039.6020689655143</v>
      </c>
      <c r="L27" s="28">
        <f>L13+L17+L24+L19+L15</f>
        <v>204148.4599999999</v>
      </c>
      <c r="M27" s="29">
        <f>J27-D27</f>
        <v>-4</v>
      </c>
      <c r="N27" s="28">
        <f>L27-F27</f>
        <v>29618.447605880065</v>
      </c>
      <c r="O27" s="29">
        <f>+O13+O15+O17</f>
        <v>30</v>
      </c>
      <c r="P27" s="30">
        <f>IF(O27&lt;=0,0,Q27/O27)</f>
        <v>6541.52066666667</v>
      </c>
      <c r="Q27" s="28">
        <f>Q13+Q17+Q24+Q19+Q15</f>
        <v>196245.62000000011</v>
      </c>
      <c r="R27" s="29">
        <f>J27-O27</f>
        <v>-1</v>
      </c>
      <c r="S27" s="326">
        <f>L27-Q27</f>
        <v>7902.8399999997928</v>
      </c>
      <c r="T27" s="25"/>
      <c r="U27" s="25"/>
      <c r="V27" s="24" t="s">
        <v>2359</v>
      </c>
      <c r="W27" s="24">
        <v>185250</v>
      </c>
      <c r="X27" s="1195">
        <f>L27-W27</f>
        <v>18898.459999999905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-0.12121212121212122</v>
      </c>
      <c r="N28" s="34">
        <f>N27/F27</f>
        <v>0.16970403656991861</v>
      </c>
      <c r="O28" s="31"/>
      <c r="P28" s="328"/>
      <c r="Q28" s="32"/>
      <c r="R28" s="33">
        <f>R27/O27</f>
        <v>-3.3333333333333333E-2</v>
      </c>
      <c r="S28" s="264">
        <f>IF(Q27=0,0,S27/Q27)</f>
        <v>4.0270147175767733E-2</v>
      </c>
      <c r="T28" s="25"/>
      <c r="U28" s="25"/>
      <c r="V28" s="24"/>
      <c r="W28" s="24">
        <v>29</v>
      </c>
      <c r="X28" s="1195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0.28154120035683033</v>
      </c>
      <c r="E31" s="200">
        <f t="shared" ref="E31:E36" si="11">F31/D$24</f>
        <v>1038.7982888788699</v>
      </c>
      <c r="F31" s="184">
        <f>+INDEX('Budget original'!$A$2:$AO$501,MATCH($A31,'Budget original'!$A$2:$A$501,0),MATCH(F$2,'Budget original'!$A$2:$AO$2,0))</f>
        <v>33241.545244123838</v>
      </c>
      <c r="G31" s="298"/>
      <c r="H31" s="200"/>
      <c r="I31" s="184"/>
      <c r="J31" s="298">
        <f>L31/(L13+L15)</f>
        <v>0.24913104528862773</v>
      </c>
      <c r="K31" s="200">
        <f t="shared" ref="K31:K36" si="12">IF(L31=0,0,L31/J$24)</f>
        <v>1087.7868965517241</v>
      </c>
      <c r="L31" s="184">
        <f>SUMIFS(BV_Data_An_Cour!$O:$O,BV_Data_An_Cour!$U:$U,$B31,BV_Data_An_Cour!$V:$V,$C31,BV_Data_An_Cour!$W:$W,L$2)</f>
        <v>31545.82</v>
      </c>
      <c r="M31" s="228"/>
      <c r="N31" s="230">
        <f t="shared" ref="N31:N53" si="13">L31-F31</f>
        <v>-1695.7252441238379</v>
      </c>
      <c r="O31" s="298">
        <f>Q31/(Q13+Q15+Q17)</f>
        <v>0.26502027354786883</v>
      </c>
      <c r="P31" s="200">
        <f t="shared" ref="P31:P40" si="14">Q31/O$24</f>
        <v>1241.0983333333331</v>
      </c>
      <c r="Q31" s="185">
        <f t="array" ref="Q31">+INDEX('Réel 2024'!$A$2:$AO$501,MATCH($A31,'Réel 2024'!$A$2:$A$501,0),MATCH(Q$2,'Réel 2024'!$A$2:$AO$2,0))</f>
        <v>37232.949999999997</v>
      </c>
      <c r="R31" s="228"/>
      <c r="S31" s="202">
        <f t="shared" ref="S31:S41" si="15">L31-Q31</f>
        <v>-5687.1299999999974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0.27500000000000002</v>
      </c>
      <c r="E32" s="363">
        <f t="shared" si="11"/>
        <v>455.12500000000006</v>
      </c>
      <c r="F32" s="182">
        <f>+INDEX('Budget original'!$A$2:$AO$501,MATCH($A32,'Budget original'!$A$2:$A$501,0),MATCH(F$2,'Budget original'!$A$2:$AO$2,0))</f>
        <v>14564.000000000002</v>
      </c>
      <c r="G32" s="325"/>
      <c r="H32" s="193"/>
      <c r="I32" s="182"/>
      <c r="J32" s="325">
        <f>L32/L24</f>
        <v>0.34564999407722075</v>
      </c>
      <c r="K32" s="363">
        <f t="shared" si="12"/>
        <v>876.39758620689656</v>
      </c>
      <c r="L32" s="182">
        <f>SUMIFS(BV_Data_An_Cour!$O:$O,BV_Data_An_Cour!$U:$U,$B32,BV_Data_An_Cour!$V:$V,$C32,BV_Data_An_Cour!$W:$W,L$2)</f>
        <v>25415.53</v>
      </c>
      <c r="M32" s="283"/>
      <c r="N32" s="284">
        <f t="shared" si="13"/>
        <v>10851.529999999997</v>
      </c>
      <c r="O32" s="325">
        <f>Q32/Q24</f>
        <v>0.40734219836170726</v>
      </c>
      <c r="P32" s="363">
        <f t="shared" si="14"/>
        <v>709.58033333333333</v>
      </c>
      <c r="Q32" s="182">
        <f t="array" ref="Q32">+INDEX('Réel 2024'!$A$2:$AO$501,MATCH($A32,'Réel 2024'!$A$2:$A$501,0),MATCH(Q$2,'Réel 2024'!$A$2:$AO$2,0))</f>
        <v>21287.41</v>
      </c>
      <c r="R32" s="283"/>
      <c r="S32" s="205">
        <f t="shared" si="15"/>
        <v>4128.119999999999</v>
      </c>
      <c r="T32" s="25"/>
      <c r="U32" s="25"/>
      <c r="V32" s="24" t="s">
        <v>2982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130</v>
      </c>
      <c r="F33" s="184">
        <f>+INDEX('Budget original'!$A$2:$AO$501,MATCH($A33,'Budget original'!$A$2:$A$501,0),MATCH(F$2,'Budget original'!$A$2:$AO$2,0))</f>
        <v>4160</v>
      </c>
      <c r="G33" s="274"/>
      <c r="H33" s="200"/>
      <c r="I33" s="184"/>
      <c r="J33" s="228"/>
      <c r="K33" s="200">
        <f t="shared" si="12"/>
        <v>132.3648275862069</v>
      </c>
      <c r="L33" s="184">
        <f>SUMIFS(BV_Data_An_Cour!$O:$O,BV_Data_An_Cour!$U:$U,$B33,BV_Data_An_Cour!$V:$V,$C33,BV_Data_An_Cour!$W:$W,L$2)</f>
        <v>3838.58</v>
      </c>
      <c r="M33" s="228"/>
      <c r="N33" s="230">
        <f t="shared" si="13"/>
        <v>-321.42000000000007</v>
      </c>
      <c r="O33" s="228"/>
      <c r="P33" s="200">
        <f t="shared" si="14"/>
        <v>73.194666666666677</v>
      </c>
      <c r="Q33" s="185">
        <f t="array" ref="Q33">+INDEX('Réel 2024'!$A$2:$AO$501,MATCH($A33,'Réel 2024'!$A$2:$A$501,0),MATCH(Q$2,'Réel 2024'!$A$2:$AO$2,0))</f>
        <v>2195.84</v>
      </c>
      <c r="R33" s="228"/>
      <c r="S33" s="202">
        <f t="shared" si="15"/>
        <v>1642.7399999999998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37</v>
      </c>
      <c r="F34" s="184">
        <f>+INDEX('Budget original'!$A$2:$AO$501,MATCH($A34,'Budget original'!$A$2:$A$501,0),MATCH(F$2,'Budget original'!$A$2:$AO$2,0))</f>
        <v>1184</v>
      </c>
      <c r="G34" s="274"/>
      <c r="H34" s="200"/>
      <c r="I34" s="184"/>
      <c r="J34" s="228"/>
      <c r="K34" s="200">
        <f t="shared" si="12"/>
        <v>62.72034482758621</v>
      </c>
      <c r="L34" s="184">
        <f>SUMIFS(BV_Data_An_Cour!$O:$O,BV_Data_An_Cour!$U:$U,$B34,BV_Data_An_Cour!$V:$V,$C34,BV_Data_An_Cour!$W:$W,L$2)</f>
        <v>1818.89</v>
      </c>
      <c r="M34" s="228"/>
      <c r="N34" s="230">
        <f t="shared" si="13"/>
        <v>634.8900000000001</v>
      </c>
      <c r="O34" s="228"/>
      <c r="P34" s="200">
        <f t="shared" si="14"/>
        <v>26.899000000000001</v>
      </c>
      <c r="Q34" s="185">
        <f t="array" ref="Q34">+INDEX('Réel 2024'!$A$2:$AO$501,MATCH($A34,'Réel 2024'!$A$2:$A$501,0),MATCH(Q$2,'Réel 2024'!$A$2:$AO$2,0))</f>
        <v>806.97</v>
      </c>
      <c r="R34" s="228"/>
      <c r="S34" s="202">
        <f t="shared" si="15"/>
        <v>1011.9200000000001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59.6875</v>
      </c>
      <c r="F35" s="182">
        <f>+INDEX('Budget original'!$A$2:$AO$501,MATCH($A35,'Budget original'!$A$2:$A$501,0),MATCH(F$2,'Budget original'!$A$2:$AO$2,0))</f>
        <v>1910</v>
      </c>
      <c r="G35" s="282"/>
      <c r="H35" s="193"/>
      <c r="I35" s="182"/>
      <c r="J35" s="283"/>
      <c r="K35" s="363">
        <f t="shared" si="12"/>
        <v>37.223793103448273</v>
      </c>
      <c r="L35" s="182">
        <f>SUMIFS(BV_Data_An_Cour!$O:$O,BV_Data_An_Cour!$U:$U,$B35,BV_Data_An_Cour!$V:$V,$C35,BV_Data_An_Cour!$W:$W,L$2)</f>
        <v>1079.49</v>
      </c>
      <c r="M35" s="283"/>
      <c r="N35" s="284">
        <f t="shared" si="13"/>
        <v>-830.51</v>
      </c>
      <c r="O35" s="283"/>
      <c r="P35" s="363">
        <f t="shared" si="14"/>
        <v>62.396000000000001</v>
      </c>
      <c r="Q35" s="185">
        <f t="array" ref="Q35">+INDEX('Réel 2024'!$A$2:$AO$501,MATCH($A35,'Réel 2024'!$A$2:$A$501,0),MATCH(Q$2,'Réel 2024'!$A$2:$AO$2,0))</f>
        <v>1871.88</v>
      </c>
      <c r="R35" s="283"/>
      <c r="S35" s="205">
        <f t="shared" si="15"/>
        <v>-792.3900000000001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513.97058823529414</v>
      </c>
      <c r="F36" s="184">
        <f>+INDEX('Budget original'!$A$2:$AO$501,MATCH($A36,'Budget original'!$A$2:$A$501,0),MATCH(F$2,'Budget original'!$A$2:$AO$2,0))</f>
        <v>16447.058823529413</v>
      </c>
      <c r="G36" s="274"/>
      <c r="H36" s="200"/>
      <c r="I36" s="184"/>
      <c r="J36" s="228"/>
      <c r="K36" s="200">
        <f t="shared" si="12"/>
        <v>595.14137931034475</v>
      </c>
      <c r="L36" s="553">
        <f>SUMIFS(BV_Data_An_Cour!$O:$O,BV_Data_An_Cour!$U:$U,$B36,BV_Data_An_Cour!$V:$V,$C36,BV_Data_An_Cour!$W:$W,L$2)</f>
        <v>17259.099999999999</v>
      </c>
      <c r="M36" s="183"/>
      <c r="N36" s="230">
        <f t="shared" si="13"/>
        <v>812.04117647058592</v>
      </c>
      <c r="O36" s="228"/>
      <c r="P36" s="200">
        <f t="shared" si="14"/>
        <v>512.11266666666666</v>
      </c>
      <c r="Q36" s="379">
        <f t="array" ref="Q36">+INDEX('Réel 2024'!$A$2:$AO$501,MATCH($A36,'Réel 2024'!$A$2:$A$501,0),MATCH(Q$2,'Réel 2024'!$A$2:$AO$2,0))</f>
        <v>15363.38</v>
      </c>
      <c r="R36" s="228"/>
      <c r="S36" s="202">
        <f t="shared" si="15"/>
        <v>1895.7199999999993</v>
      </c>
      <c r="T36" s="25"/>
      <c r="U36" s="25"/>
      <c r="V36" s="24"/>
      <c r="W36" s="1043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974.98575635560883</v>
      </c>
      <c r="F37" s="184">
        <f>+INDEX('Budget original'!$A$2:$AO$501,MATCH($A37,'Budget original'!$A$2:$A$501,0),MATCH(F$2,'Budget original'!$A$2:$AO$2,0))</f>
        <v>31199.544203379482</v>
      </c>
      <c r="G37" s="274"/>
      <c r="H37" s="200"/>
      <c r="I37" s="184"/>
      <c r="J37" s="228"/>
      <c r="K37" s="200">
        <f>IF(L37=0,0,L37/J$24)</f>
        <v>853.67172413793105</v>
      </c>
      <c r="L37" s="554">
        <f>SUMIFS(BV_Data_An_Cour!$O:$O,BV_Data_An_Cour!$U:$U,$B37,BV_Data_An_Cour!$V:$V,$C37,BV_Data_An_Cour!$W:$W,L$2)</f>
        <v>24756.48</v>
      </c>
      <c r="M37" s="183"/>
      <c r="N37" s="230">
        <f t="shared" si="13"/>
        <v>-6443.0642033794829</v>
      </c>
      <c r="O37" s="228"/>
      <c r="P37" s="200">
        <f t="shared" si="14"/>
        <v>1210.5003333333334</v>
      </c>
      <c r="Q37" s="185">
        <f t="array" ref="Q37">+INDEX('Réel 2024'!$A$2:$AO$501,MATCH($A37,'Réel 2024'!$A$2:$A$501,0),MATCH(Q$2,'Réel 2024'!$A$2:$AO$2,0))</f>
        <v>36315.01</v>
      </c>
      <c r="R37" s="228"/>
      <c r="S37" s="202">
        <f>L37-Q37</f>
        <v>-11558.530000000002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2024'!$A$2:$AO$501,MATCH($A38,'Réel 2024'!$A$2:$A$501,0),MATCH(Q$2,'Réel 2024'!$A$2:$AO$2,0))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2024'!$A$2:$AO$501,MATCH($A39,'Réel 2024'!$A$2:$A$501,0),MATCH(Q$2,'Réel 2024'!$A$2:$AO$2,0))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2024'!$A$2:$AO$501,MATCH($A40,'Réel 2024'!$A$2:$A$501,0),MATCH(Q$2,'Réel 2024'!$A$2:$AO$2,0))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0.58847270370384186</v>
      </c>
      <c r="F41" s="41">
        <f>SUM(F31:F40)</f>
        <v>102706.14827103273</v>
      </c>
      <c r="G41" s="42"/>
      <c r="H41" s="40"/>
      <c r="I41" s="41"/>
      <c r="J41" s="42" t="s">
        <v>108</v>
      </c>
      <c r="K41" s="40">
        <f>L41/L$27</f>
        <v>0.51782849598767511</v>
      </c>
      <c r="L41" s="41">
        <f>SUM(L31:L40)</f>
        <v>105713.89</v>
      </c>
      <c r="M41" s="512"/>
      <c r="N41" s="41">
        <f t="shared" si="13"/>
        <v>3007.741728967274</v>
      </c>
      <c r="O41" s="42" t="s">
        <v>108</v>
      </c>
      <c r="P41" s="40">
        <f>Q41/Q$27</f>
        <v>0.5863745646909212</v>
      </c>
      <c r="Q41" s="511">
        <f>SUM(Q31:Q40)</f>
        <v>115073.44</v>
      </c>
      <c r="R41" s="44"/>
      <c r="S41" s="290">
        <f t="shared" si="15"/>
        <v>-9359.5500000000029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12572.923563218392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13325.86</v>
      </c>
      <c r="M42" s="228"/>
      <c r="N42" s="230">
        <f t="shared" si="13"/>
        <v>752.93643678160879</v>
      </c>
      <c r="O42" s="228"/>
      <c r="P42" s="183"/>
      <c r="Q42" s="185">
        <f t="array" ref="Q42">+INDEX('Réel 2024'!$A$2:$AO$501,MATCH($A42,'Réel 2024'!$A$2:$A$501,0),MATCH(Q$2,'Réel 2024'!$A$2:$AO$2,0))</f>
        <v>12302.2</v>
      </c>
      <c r="R42" s="228"/>
      <c r="S42" s="202">
        <f t="shared" ref="S42:S53" si="16">L42-Q42</f>
        <v>1023.6599999999999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9200.6609195402307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8772.33</v>
      </c>
      <c r="M43" s="228"/>
      <c r="N43" s="230">
        <f t="shared" si="13"/>
        <v>-428.33091954023075</v>
      </c>
      <c r="O43" s="228"/>
      <c r="P43" s="183"/>
      <c r="Q43" s="185">
        <f t="array" ref="Q43">+INDEX('Réel 2024'!$A$2:$AO$501,MATCH($A43,'Réel 2024'!$A$2:$A$501,0),MATCH(Q$2,'Réel 2024'!$A$2:$AO$2,0))</f>
        <v>8037.27</v>
      </c>
      <c r="R43" s="228"/>
      <c r="S43" s="202">
        <f t="shared" si="16"/>
        <v>735.05999999999949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2024'!$A$2:$AO$501,MATCH($A44,'Réel 2024'!$A$2:$A$501,0),MATCH(Q$2,'Réel 2024'!$A$2:$AO$2,0))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2024'!$A$2:$AO$501,MATCH($A45,'Réel 2024'!$A$2:$A$501,0),MATCH(Q$2,'Réel 2024'!$A$2:$AO$2,0))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2024'!$A$2:$AO$501,MATCH($A46,'Réel 2024'!$A$2:$A$501,0),MATCH(Q$2,'Réel 2024'!$A$2:$AO$2,0))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2024'!$A$2:$AO$501,MATCH($A47,'Réel 2024'!$A$2:$A$501,0),MATCH(Q$2,'Réel 2024'!$A$2:$AO$2,0))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2024'!$A$2:$AO$501,MATCH($A48,'Réel 2024'!$A$2:$A$501,0),MATCH(Q$2,'Réel 2024'!$A$2:$AO$2,0))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8894.4548143822285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9449.4599999999991</v>
      </c>
      <c r="M49" s="228"/>
      <c r="N49" s="230">
        <f t="shared" si="13"/>
        <v>555.00518561777062</v>
      </c>
      <c r="O49" s="228"/>
      <c r="P49" s="183"/>
      <c r="Q49" s="182">
        <f t="array" ref="Q49">+INDEX('Réel 2024'!$A$2:$AO$501,MATCH($A49,'Réel 2024'!$A$2:$A$501,0),MATCH(Q$2,'Réel 2024'!$A$2:$AO$2,0))</f>
        <v>4466.22</v>
      </c>
      <c r="R49" s="228"/>
      <c r="S49" s="202">
        <f t="shared" si="16"/>
        <v>4983.2399999999989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10383.074519460788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11008.13</v>
      </c>
      <c r="M50" s="278"/>
      <c r="N50" s="279">
        <f t="shared" si="13"/>
        <v>625.0554805392112</v>
      </c>
      <c r="O50" s="278"/>
      <c r="P50" s="276"/>
      <c r="Q50" s="185">
        <f t="array" ref="Q50">+INDEX('Réel 2024'!$A$2:$AO$501,MATCH($A50,'Réel 2024'!$A$2:$A$501,0),MATCH(Q$2,'Réel 2024'!$A$2:$AO$2,0))</f>
        <v>10796.69</v>
      </c>
      <c r="R50" s="278"/>
      <c r="S50" s="204">
        <f t="shared" si="16"/>
        <v>211.43999999999869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5344.2295320754065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4701.09</v>
      </c>
      <c r="M51" s="228"/>
      <c r="N51" s="230">
        <f t="shared" si="13"/>
        <v>-643.13953207540635</v>
      </c>
      <c r="O51" s="228"/>
      <c r="P51" s="183"/>
      <c r="Q51" s="185">
        <f t="array" ref="Q51">+INDEX('Réel 2024'!$A$2:$AO$501,MATCH($A51,'Réel 2024'!$A$2:$A$501,0),MATCH(Q$2,'Réel 2024'!$A$2:$AO$2,0))</f>
        <v>4198.83</v>
      </c>
      <c r="R51" s="228"/>
      <c r="S51" s="202">
        <f t="shared" si="16"/>
        <v>502.26000000000022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1145.1920425875869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1835.54</v>
      </c>
      <c r="M52" s="228"/>
      <c r="N52" s="230">
        <f t="shared" si="13"/>
        <v>690.34795741241305</v>
      </c>
      <c r="O52" s="228"/>
      <c r="P52" s="183"/>
      <c r="Q52" s="185">
        <f t="array" ref="Q52">+INDEX('Réel 2024'!$A$2:$AO$501,MATCH($A52,'Réel 2024'!$A$2:$A$501,0),MATCH(Q$2,'Réel 2024'!$A$2:$AO$2,0))</f>
        <v>1249.8</v>
      </c>
      <c r="R52" s="228"/>
      <c r="S52" s="202">
        <f t="shared" si="16"/>
        <v>585.74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2024'!$A$2:$AO$501,MATCH($A53,'Réel 2024'!$A$2:$A$501,0),MATCH(Q$2,'Réel 2024'!$A$2:$AO$2,0))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0.27435129771914152</v>
      </c>
      <c r="F54" s="41">
        <f>+SUM(F42:F53)</f>
        <v>47882.535391264631</v>
      </c>
      <c r="G54" s="42"/>
      <c r="H54" s="40"/>
      <c r="I54" s="41"/>
      <c r="J54" s="42" t="s">
        <v>108</v>
      </c>
      <c r="K54" s="40">
        <f>L54/L$27</f>
        <v>0.24214931623780075</v>
      </c>
      <c r="L54" s="41">
        <f>+SUM(L42:L53)</f>
        <v>49434.409999999996</v>
      </c>
      <c r="M54" s="44"/>
      <c r="N54" s="41">
        <f>+SUM(N42:N53)</f>
        <v>1551.8746087353666</v>
      </c>
      <c r="O54" s="42" t="s">
        <v>108</v>
      </c>
      <c r="P54" s="40">
        <f>Q54/Q$27</f>
        <v>0.2109245036908339</v>
      </c>
      <c r="Q54" s="41">
        <f>+SUM(Q42:Q53)</f>
        <v>41393.010000000009</v>
      </c>
      <c r="R54" s="44"/>
      <c r="S54" s="290">
        <f>+SUM(S42:S53)</f>
        <v>8041.3999999999969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2024'!$A$2:$AO$501,MATCH($A55,'Réel 2024'!$A$2:$A$501,0),MATCH(Q$2,'Réel 2024'!$A$2:$AO$2,0))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2024'!$A$2:$AO$501,MATCH($A56,'Réel 2024'!$A$2:$A$501,0),MATCH(Q$2,'Réel 2024'!$A$2:$AO$2,0))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6620.9333333333325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8435.32</v>
      </c>
      <c r="M57" s="283"/>
      <c r="N57" s="284">
        <f t="shared" si="17"/>
        <v>1814.3866666666672</v>
      </c>
      <c r="O57" s="283"/>
      <c r="P57" s="281"/>
      <c r="Q57" s="182">
        <f t="array" ref="Q57">+INDEX('Réel 2024'!$A$2:$AO$501,MATCH($A57,'Réel 2024'!$A$2:$A$501,0),MATCH(Q$2,'Réel 2024'!$A$2:$AO$2,0))</f>
        <v>4993.4399999999996</v>
      </c>
      <c r="R57" s="283"/>
      <c r="S57" s="205">
        <f t="shared" si="18"/>
        <v>3441.88</v>
      </c>
      <c r="T57" s="45"/>
      <c r="U57" s="25"/>
      <c r="V57" s="24" t="s">
        <v>2977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4878.3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4823.25</v>
      </c>
      <c r="M58" s="228"/>
      <c r="N58" s="230">
        <f t="shared" si="17"/>
        <v>-55.050000000000182</v>
      </c>
      <c r="O58" s="228"/>
      <c r="P58" s="183"/>
      <c r="Q58" s="185">
        <f t="array" ref="Q58">+INDEX('Réel 2024'!$A$2:$AO$501,MATCH($A58,'Réel 2024'!$A$2:$A$501,0),MATCH(Q$2,'Réel 2024'!$A$2:$AO$2,0))</f>
        <v>4537.54</v>
      </c>
      <c r="R58" s="228"/>
      <c r="S58" s="202">
        <f t="shared" si="18"/>
        <v>285.71000000000004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825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1180.26</v>
      </c>
      <c r="M59" s="228"/>
      <c r="N59" s="230">
        <f t="shared" si="17"/>
        <v>355.26</v>
      </c>
      <c r="O59" s="228"/>
      <c r="P59" s="183"/>
      <c r="Q59" s="185">
        <f t="array" ref="Q59">+INDEX('Réel 2024'!$A$2:$AO$501,MATCH($A59,'Réel 2024'!$A$2:$A$501,0),MATCH(Q$2,'Réel 2024'!$A$2:$AO$2,0))</f>
        <v>1481.23</v>
      </c>
      <c r="R59" s="228"/>
      <c r="S59" s="202">
        <f t="shared" si="18"/>
        <v>-300.97000000000003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3314.7000000000003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4615.6000000000004</v>
      </c>
      <c r="M60" s="283"/>
      <c r="N60" s="284">
        <f t="shared" si="17"/>
        <v>1300.9000000000001</v>
      </c>
      <c r="O60" s="283"/>
      <c r="P60" s="281"/>
      <c r="Q60" s="182">
        <f t="array" ref="Q60">+INDEX('Réel 2024'!$A$2:$AO$501,MATCH($A60,'Réel 2024'!$A$2:$A$501,0),MATCH(Q$2,'Réel 2024'!$A$2:$AO$2,0))</f>
        <v>3008.26</v>
      </c>
      <c r="R60" s="283"/>
      <c r="S60" s="205">
        <f t="shared" si="18"/>
        <v>1607.3400000000001</v>
      </c>
      <c r="T60" s="25"/>
      <c r="U60" s="25"/>
      <c r="V60" s="24" t="s">
        <v>2984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40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0</v>
      </c>
      <c r="M61" s="228"/>
      <c r="N61" s="230">
        <f t="shared" si="17"/>
        <v>-40</v>
      </c>
      <c r="O61" s="228"/>
      <c r="P61" s="183"/>
      <c r="Q61" s="185">
        <f t="array" ref="Q61">+INDEX('Réel 2024'!$A$2:$AO$501,MATCH($A61,'Réel 2024'!$A$2:$A$501,0),MATCH(Q$2,'Réel 2024'!$A$2:$AO$2,0))</f>
        <v>2.4900000000000002</v>
      </c>
      <c r="R61" s="228"/>
      <c r="S61" s="202">
        <f t="shared" si="18"/>
        <v>-2.4900000000000002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30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297</v>
      </c>
      <c r="M62" s="228"/>
      <c r="N62" s="230">
        <f t="shared" si="17"/>
        <v>267</v>
      </c>
      <c r="O62" s="228"/>
      <c r="P62" s="183"/>
      <c r="Q62" s="185">
        <f t="array" ref="Q62">+INDEX('Réel 2024'!$A$2:$AO$501,MATCH($A62,'Réel 2024'!$A$2:$A$501,0),MATCH(Q$2,'Réel 2024'!$A$2:$AO$2,0))</f>
        <v>0</v>
      </c>
      <c r="R62" s="228"/>
      <c r="S62" s="202">
        <f t="shared" si="18"/>
        <v>297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708.75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527.44000000000005</v>
      </c>
      <c r="M63" s="228"/>
      <c r="N63" s="230">
        <f t="shared" si="17"/>
        <v>-181.30999999999995</v>
      </c>
      <c r="O63" s="228"/>
      <c r="P63" s="183"/>
      <c r="Q63" s="478">
        <f t="array" ref="Q63">+INDEX('Réel 2024'!$A$2:$AO$501,MATCH($A63,'Réel 2024'!$A$2:$A$501,0),MATCH(Q$2,'Réel 2024'!$A$2:$AO$2,0))</f>
        <v>431.9</v>
      </c>
      <c r="R63" s="228"/>
      <c r="S63" s="202">
        <f t="shared" si="18"/>
        <v>95.540000000000077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183.22</v>
      </c>
      <c r="M64" s="228"/>
      <c r="N64" s="230">
        <f t="shared" si="17"/>
        <v>-27.180000000000007</v>
      </c>
      <c r="O64" s="228"/>
      <c r="P64" s="183"/>
      <c r="Q64" s="185">
        <f t="array" ref="Q64">+INDEX('Réel 2024'!$A$2:$AO$501,MATCH($A64,'Réel 2024'!$A$2:$A$501,0),MATCH(Q$2,'Réel 2024'!$A$2:$AO$2,0))</f>
        <v>235.92</v>
      </c>
      <c r="R64" s="228"/>
      <c r="S64" s="202">
        <f t="shared" si="18"/>
        <v>-52.699999999999989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202.5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222.71</v>
      </c>
      <c r="M65" s="228"/>
      <c r="N65" s="230">
        <f t="shared" si="17"/>
        <v>20.210000000000008</v>
      </c>
      <c r="O65" s="228"/>
      <c r="P65" s="183"/>
      <c r="Q65" s="185">
        <f t="array" ref="Q65">+INDEX('Réel 2024'!$A$2:$AO$501,MATCH($A65,'Réel 2024'!$A$2:$A$501,0),MATCH(Q$2,'Réel 2024'!$A$2:$AO$2,0))</f>
        <v>258.2</v>
      </c>
      <c r="R65" s="228"/>
      <c r="S65" s="202">
        <f t="shared" si="18"/>
        <v>-35.489999999999981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783.45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682.2</v>
      </c>
      <c r="M66" s="228"/>
      <c r="N66" s="230">
        <f t="shared" si="17"/>
        <v>-101.25</v>
      </c>
      <c r="O66" s="228"/>
      <c r="P66" s="183"/>
      <c r="Q66" s="185">
        <f t="array" ref="Q66">+INDEX('Réel 2024'!$A$2:$AO$501,MATCH($A66,'Réel 2024'!$A$2:$A$501,0),MATCH(Q$2,'Réel 2024'!$A$2:$AO$2,0))</f>
        <v>832.95</v>
      </c>
      <c r="R66" s="228"/>
      <c r="S66" s="202">
        <f t="shared" si="18"/>
        <v>-150.75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558.18350999999984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548.25</v>
      </c>
      <c r="M67" s="228"/>
      <c r="N67" s="230">
        <f t="shared" si="17"/>
        <v>-9.933509999999842</v>
      </c>
      <c r="O67" s="228"/>
      <c r="P67" s="183"/>
      <c r="Q67" s="185">
        <f t="array" ref="Q67">+INDEX('Réel 2024'!$A$2:$AO$501,MATCH($A67,'Réel 2024'!$A$2:$A$501,0),MATCH(Q$2,'Réel 2024'!$A$2:$AO$2,0))</f>
        <v>518.23</v>
      </c>
      <c r="R67" s="228"/>
      <c r="S67" s="202">
        <f>L67-Q67</f>
        <v>30.019999999999982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4083.3970470364588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4475.8900000000003</v>
      </c>
      <c r="M68" s="228"/>
      <c r="N68" s="230">
        <f t="shared" si="17"/>
        <v>392.49295296354148</v>
      </c>
      <c r="O68" s="228"/>
      <c r="P68" s="183"/>
      <c r="Q68" s="185">
        <f t="array" ref="Q68">+INDEX('Réel 2024'!$A$2:$AO$501,MATCH($A68,'Réel 2024'!$A$2:$A$501,0),MATCH(Q$2,'Réel 2024'!$A$2:$AO$2,0))</f>
        <v>4388.05</v>
      </c>
      <c r="R68" s="228"/>
      <c r="S68" s="202">
        <f>L68-Q68</f>
        <v>87.840000000000146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2024'!$A$2:$AO$501,MATCH($A69,'Réel 2024'!$A$2:$A$501,0),MATCH(Q$2,'Réel 2024'!$A$2:$AO$2,0))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2024'!$A$2:$AO$501,MATCH($A70,'Réel 2024'!$A$2:$A$501,0),MATCH(Q$2,'Réel 2024'!$A$2:$AO$2,0))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2024'!$A$2:$AO$501,MATCH($A71,'Réel 2024'!$A$2:$A$501,0),MATCH(Q$2,'Réel 2024'!$A$2:$AO$2,0))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0.12751740279552984</v>
      </c>
      <c r="F72" s="41">
        <f>+SUM(F55:F71)</f>
        <v>22255.613890369794</v>
      </c>
      <c r="G72" s="42"/>
      <c r="H72" s="40"/>
      <c r="I72" s="41"/>
      <c r="J72" s="42" t="s">
        <v>108</v>
      </c>
      <c r="K72" s="40">
        <f>L72/L$27</f>
        <v>0.12731489622797063</v>
      </c>
      <c r="L72" s="41">
        <f>+SUM(L55:L71)</f>
        <v>25991.14</v>
      </c>
      <c r="M72" s="44"/>
      <c r="N72" s="41">
        <f>+SUM(N55:N71)</f>
        <v>3735.5261096302092</v>
      </c>
      <c r="O72" s="42" t="s">
        <v>108</v>
      </c>
      <c r="P72" s="40">
        <f>Q72/Q$27</f>
        <v>0.10541998338612596</v>
      </c>
      <c r="Q72" s="41">
        <f>+SUM(Q55:Q71)</f>
        <v>20688.21</v>
      </c>
      <c r="R72" s="44"/>
      <c r="S72" s="290">
        <f>+SUM(S55:S71)</f>
        <v>5302.93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0.99034140421851313</v>
      </c>
      <c r="F74" s="41">
        <f>F41+F54+F72</f>
        <v>172844.29755266715</v>
      </c>
      <c r="G74" s="42"/>
      <c r="H74" s="40"/>
      <c r="I74" s="41"/>
      <c r="J74" s="42" t="s">
        <v>108</v>
      </c>
      <c r="K74" s="40">
        <f>L74/L$27</f>
        <v>0.88729270845344654</v>
      </c>
      <c r="L74" s="41">
        <f>L41+L54+L72</f>
        <v>181139.44</v>
      </c>
      <c r="M74" s="44"/>
      <c r="N74" s="46">
        <f t="shared" ref="N74:N82" si="19">L74-F74</f>
        <v>8295.1424473328516</v>
      </c>
      <c r="O74" s="42" t="s">
        <v>108</v>
      </c>
      <c r="P74" s="40">
        <f>Q74/Q$27</f>
        <v>0.90271905176788103</v>
      </c>
      <c r="Q74" s="41">
        <f>Q41+Q54+Q72</f>
        <v>177154.66</v>
      </c>
      <c r="R74" s="44"/>
      <c r="S74" s="286">
        <f>L74-Q74</f>
        <v>3984.7799999999988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52237.536840000001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43701.85</v>
      </c>
      <c r="M75" s="228"/>
      <c r="N75" s="230">
        <f t="shared" si="19"/>
        <v>-8535.6868400000021</v>
      </c>
      <c r="O75" s="228"/>
      <c r="P75" s="183"/>
      <c r="Q75" s="478">
        <f>+INDEX('Réel 2024'!$A$2:$AO$501,MATCH($A75,'Réel 2024'!$A$2:$A$501,0),MATCH(Q$2,'Réel 2024'!$A$2:$AO$2,0))</f>
        <v>56342.42</v>
      </c>
      <c r="R75" s="228"/>
      <c r="S75" s="202">
        <f>L75-Q75</f>
        <v>-12640.57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2024'!$A$2:$AO$501,MATCH($A76,'Réel 2024'!$A$2:$A$501,0),MATCH(Q$2,'Réel 2024'!$A$2:$AO$2,0))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2024'!$A$2:$AO$501,MATCH($A77,'Réel 2024'!$A$2:$A$501,0),MATCH(Q$2,'Réel 2024'!$A$2:$AO$2,0))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56473.012800000004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52973</v>
      </c>
      <c r="M78" s="228"/>
      <c r="N78" s="230">
        <f t="shared" si="19"/>
        <v>-3500.0128000000041</v>
      </c>
      <c r="O78" s="228"/>
      <c r="P78" s="183"/>
      <c r="Q78" s="478">
        <f t="array" ref="Q78">+INDEX('Réel 2024'!$A$2:$AO$501,MATCH($A78,'Réel 2024'!$A$2:$A$501,0),MATCH(Q$2,'Réel 2024'!$A$2:$AO$2,0))</f>
        <v>47079</v>
      </c>
      <c r="R78" s="228"/>
      <c r="S78" s="202">
        <f t="shared" si="20"/>
        <v>5894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2024'!$A$2:$AO$501,MATCH($A79,'Réel 2024'!$A$2:$A$501,0),MATCH(Q$2,'Réel 2024'!$A$2:$AO$2,0))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2024'!$A$2:$AO$501,MATCH($A80,'Réel 2024'!$A$2:$A$501,0),MATCH(Q$2,'Réel 2024'!$A$2:$AO$2,0))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2024'!$A$2:$AO$501,MATCH($A81,'Réel 2024'!$A$2:$A$501,0),MATCH(Q$2,'Réel 2024'!$A$2:$AO$2,0))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18754.400000000001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17255</v>
      </c>
      <c r="M82" s="228"/>
      <c r="N82" s="230">
        <f t="shared" si="19"/>
        <v>-1499.4000000000015</v>
      </c>
      <c r="O82" s="228"/>
      <c r="P82" s="183"/>
      <c r="Q82" s="478">
        <f t="array" ref="Q82">+INDEX('Réel 2024'!$A$2:$AO$501,MATCH($A82,'Réel 2024'!$A$2:$A$501,0),MATCH(Q$2,'Réel 2024'!$A$2:$AO$2,0))</f>
        <v>17850</v>
      </c>
      <c r="R82" s="228"/>
      <c r="S82" s="202">
        <f t="shared" si="20"/>
        <v>-595</v>
      </c>
      <c r="T82" s="25"/>
      <c r="U82" s="25"/>
      <c r="V82" s="24">
        <f>L82/595</f>
        <v>29</v>
      </c>
      <c r="W82" s="1165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127464.94964000001</v>
      </c>
      <c r="G83" s="42"/>
      <c r="H83" s="40"/>
      <c r="I83" s="41"/>
      <c r="J83" s="42"/>
      <c r="K83" s="40"/>
      <c r="L83" s="41">
        <f>+SUM(L75:L82)</f>
        <v>113929.85</v>
      </c>
      <c r="M83" s="44"/>
      <c r="N83" s="41">
        <f>+SUM(N75:N82)</f>
        <v>-13535.099640000008</v>
      </c>
      <c r="O83" s="42"/>
      <c r="P83" s="40"/>
      <c r="Q83" s="41">
        <f>+SUM(Q75:Q82)</f>
        <v>121271.42</v>
      </c>
      <c r="R83" s="44"/>
      <c r="S83" s="290">
        <f>+SUM(S75:S82)</f>
        <v>-7341.57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129150.6644814527</v>
      </c>
      <c r="G85" s="384"/>
      <c r="H85" s="314"/>
      <c r="I85" s="311"/>
      <c r="J85" s="384"/>
      <c r="K85" s="310"/>
      <c r="L85" s="311">
        <f>L27-L74+L83</f>
        <v>136938.86999999991</v>
      </c>
      <c r="M85" s="384"/>
      <c r="N85" s="311">
        <f>N27-N41-N54-N72+N83</f>
        <v>7788.2055185472091</v>
      </c>
      <c r="O85" s="384"/>
      <c r="P85" s="310"/>
      <c r="Q85" s="311">
        <f>Q27-Q74+Q83</f>
        <v>140362.38000000012</v>
      </c>
      <c r="R85" s="384"/>
      <c r="S85" s="315">
        <f>S27-S41-S54-S72+S83</f>
        <v>-3423.5100000002021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Avril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39" t="s">
        <v>77</v>
      </c>
      <c r="E91" s="1240"/>
      <c r="F91" s="1241"/>
      <c r="G91" s="1244"/>
      <c r="H91" s="1240"/>
      <c r="I91" s="1241"/>
      <c r="J91" s="1244" t="s">
        <v>78</v>
      </c>
      <c r="K91" s="1240"/>
      <c r="L91" s="1241"/>
      <c r="M91" s="1244" t="s">
        <v>2443</v>
      </c>
      <c r="N91" s="1241"/>
      <c r="O91" s="1239" t="s">
        <v>79</v>
      </c>
      <c r="P91" s="1240"/>
      <c r="Q91" s="1241"/>
      <c r="R91" s="1242" t="s">
        <v>2447</v>
      </c>
      <c r="S91" s="124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2001764.705882353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1384484.48</v>
      </c>
      <c r="M93" s="346"/>
      <c r="N93" s="347"/>
      <c r="O93" s="283"/>
      <c r="P93" s="189"/>
      <c r="Q93" s="182">
        <f t="array" ref="Q93">+INDEX('Réel 2024'!$A$2:$AO$501,MATCH($A93,'Réel 2024'!$A$2:$A$501,0),MATCH(Q$2,'Réel 2024'!$A$2:$AO$2,0))</f>
        <v>1837134.16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9</v>
      </c>
      <c r="E94" s="184">
        <f>IF(D94=0,0,F94/D94)</f>
        <v>2300</v>
      </c>
      <c r="F94" s="184">
        <f>+INDEX('Budget original'!$A$2:$AO$501,MATCH($A94,'Budget original'!$A$2:$A$501,0),MATCH(F$2,'Budget original'!$A$2:$AO$2,0))</f>
        <v>20700</v>
      </c>
      <c r="G94" s="187"/>
      <c r="H94" s="184"/>
      <c r="I94" s="184"/>
      <c r="J94" s="187">
        <f>-SUMIFS(BV_Data_An_Cour!$O:$O,BV_Data_An_Cour!$U:$U,$B94,BV_Data_An_Cour!$V:$V,$C94,BV_Data_An_Cour!$W:$W,J$2)</f>
        <v>5</v>
      </c>
      <c r="K94" s="184">
        <f>IF(J94=0,0,L94/J94)</f>
        <v>3241.2920000000036</v>
      </c>
      <c r="L94" s="185">
        <f>-SUMIFS(BV_Data_An_Cour!$O:$O,BV_Data_An_Cour!$U:$U,$B94,BV_Data_An_Cour!$V:$V,$C94,BV_Data_An_Cour!$W:$W,$L2)</f>
        <v>16206.460000000017</v>
      </c>
      <c r="M94" s="187">
        <f>J94-D94</f>
        <v>-4</v>
      </c>
      <c r="N94" s="185">
        <f>L94-F94</f>
        <v>-4493.5399999999827</v>
      </c>
      <c r="O94" s="187">
        <f t="array" ref="O94">+INDEX('Réel 2024'!$A$2:$AO$501,MATCH($A94,'Réel 2024'!$A$2:$A$501,0),MATCH(O$2,'Réel 2024'!$A$2:$AO$2,0))</f>
        <v>7</v>
      </c>
      <c r="P94" s="184">
        <f t="shared" ref="P94:P96" si="22">IF(O94=0,0,Q94/O94)</f>
        <v>1622.3442857142713</v>
      </c>
      <c r="Q94" s="185">
        <f t="array" ref="Q94">+INDEX('Réel 2024'!$A$2:$AO$501,MATCH($A94,'Réel 2024'!$A$2:$A$501,0),MATCH(Q$2,'Réel 2024'!$A$2:$AO$2,0))</f>
        <v>11356.4099999999</v>
      </c>
      <c r="R94" s="187">
        <f>J94-O94</f>
        <v>-2</v>
      </c>
      <c r="S94" s="350">
        <f>L94-Q94</f>
        <v>4850.0500000001175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9</v>
      </c>
      <c r="E95" s="184">
        <f t="shared" ref="E95:E105" si="23">IF(D95=0,0,F95/D95)</f>
        <v>1600</v>
      </c>
      <c r="F95" s="184">
        <f>+INDEX('Budget original'!$A$2:$AO$501,MATCH($A95,'Budget original'!$A$2:$A$501,0),MATCH(F$2,'Budget original'!$A$2:$AO$2,0))</f>
        <v>14400</v>
      </c>
      <c r="G95" s="187"/>
      <c r="H95" s="184"/>
      <c r="I95" s="184"/>
      <c r="J95" s="187">
        <f>-SUMIFS(BV_Data_An_Cour!$O:$O,BV_Data_An_Cour!$U:$U,$B95,BV_Data_An_Cour!$V:$V,$C95,BV_Data_An_Cour!$W:$W,J$2)</f>
        <v>12</v>
      </c>
      <c r="K95" s="184">
        <f>IF(J95=0,0,L95/J95)</f>
        <v>1852.4199999999976</v>
      </c>
      <c r="L95" s="478">
        <f>-SUMIFS(BV_Data_An_Cour!$O:$O,BV_Data_An_Cour!$U:$U,$B95,BV_Data_An_Cour!$V:$V,$C95,BV_Data_An_Cour!$W:$W,$L2)</f>
        <v>22229.039999999972</v>
      </c>
      <c r="M95" s="187">
        <f>J95-D95</f>
        <v>3</v>
      </c>
      <c r="N95" s="185">
        <f>L95-F95</f>
        <v>7829.0399999999718</v>
      </c>
      <c r="O95" s="187">
        <f t="array" ref="O95">+INDEX('Réel 2024'!$A$2:$AO$501,MATCH($A95,'Réel 2024'!$A$2:$A$501,0),MATCH(O$2,'Réel 2024'!$A$2:$AO$2,0))</f>
        <v>9</v>
      </c>
      <c r="P95" s="184">
        <f t="shared" si="22"/>
        <v>1875.2299999999891</v>
      </c>
      <c r="Q95" s="478">
        <f t="array" ref="Q95">+INDEX('Réel 2024'!$A$2:$AO$501,MATCH($A95,'Réel 2024'!$A$2:$A$501,0),MATCH(Q$2,'Réel 2024'!$A$2:$AO$2,0))</f>
        <v>16877.069999999901</v>
      </c>
      <c r="R95" s="187">
        <f>J95-O95</f>
        <v>3</v>
      </c>
      <c r="S95" s="350">
        <f>L95-Q95</f>
        <v>5351.9700000000703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2812</v>
      </c>
      <c r="D96" s="184">
        <f>+INDEX('Budget original'!$A$2:$AO$501,MATCH($A96,'Budget original'!$A$2:$A$501,0),MATCH(D$2,'Budget original'!$A$2:$AO$2,0))</f>
        <v>9</v>
      </c>
      <c r="E96" s="189">
        <f t="shared" si="23"/>
        <v>1500</v>
      </c>
      <c r="F96" s="184">
        <f>+INDEX('Budget original'!$A$2:$AO$501,MATCH($A96,'Budget original'!$A$2:$A$501,0),MATCH(F$2,'Budget original'!$A$2:$AO$2,0))</f>
        <v>13500</v>
      </c>
      <c r="G96" s="187"/>
      <c r="H96" s="184"/>
      <c r="I96" s="184"/>
      <c r="J96" s="187">
        <f>-SUMIFS(BV_Data_An_Cour!$O:$O,BV_Data_An_Cour!$U:$U,$B96,BV_Data_An_Cour!$V:$V,$C96,BV_Data_An_Cour!$W:$W,J$2)</f>
        <v>5</v>
      </c>
      <c r="K96" s="184">
        <f>IF(J96=0,0,L96/J96)</f>
        <v>1888.0919999999976</v>
      </c>
      <c r="L96" s="478">
        <f>-SUMIFS(BV_Data_An_Cour!$O:$O,BV_Data_An_Cour!$U:$U,$B96,BV_Data_An_Cour!$V:$V,$C96,BV_Data_An_Cour!$W:$W,$L2)</f>
        <v>9440.4599999999882</v>
      </c>
      <c r="M96" s="187">
        <f>J96-D96</f>
        <v>-4</v>
      </c>
      <c r="N96" s="185">
        <f>L96-F96</f>
        <v>-4059.5400000000118</v>
      </c>
      <c r="O96" s="187">
        <f>+INDEX('Réel 2024'!$A$2:$AO$501,MATCH($A96,'Réel 2024'!$A$2:$A$501,0),MATCH(O$2,'Réel 2024'!$A$2:$AO$2,0))</f>
        <v>12</v>
      </c>
      <c r="P96" s="184">
        <f t="shared" si="22"/>
        <v>862.97166666666669</v>
      </c>
      <c r="Q96" s="478">
        <f>+INDEX('Réel 2024'!$A$2:$AO$501,MATCH($A96,'Réel 2024'!$A$2:$A$501,0),MATCH(Q$2,'Réel 2024'!$A$2:$AO$2,0))</f>
        <v>10355.66</v>
      </c>
      <c r="R96" s="187">
        <f>J96-O96</f>
        <v>-7</v>
      </c>
      <c r="S96" s="350">
        <f>L96-Q96</f>
        <v>-915.20000000001164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27</v>
      </c>
      <c r="E97" s="184">
        <f t="shared" si="23"/>
        <v>1800</v>
      </c>
      <c r="F97" s="352">
        <f>+F94+F95+F96</f>
        <v>48600</v>
      </c>
      <c r="G97" s="353"/>
      <c r="H97" s="351"/>
      <c r="I97" s="352"/>
      <c r="J97" s="353">
        <f>+J94+J95+J96</f>
        <v>22</v>
      </c>
      <c r="K97" s="351">
        <f>IF(J97&lt;=0,0,L97/J97)</f>
        <v>2176.1799999999989</v>
      </c>
      <c r="L97" s="352">
        <f>+L94+L95+L96</f>
        <v>47875.959999999977</v>
      </c>
      <c r="M97" s="353">
        <f>J97-D97</f>
        <v>-5</v>
      </c>
      <c r="N97" s="352">
        <f>L97-F97</f>
        <v>-724.0400000000227</v>
      </c>
      <c r="O97" s="353">
        <f>+O95+O94+O96</f>
        <v>28</v>
      </c>
      <c r="P97" s="351">
        <f>IF(O97=0,0,Q97/O97)</f>
        <v>1378.1835714285642</v>
      </c>
      <c r="Q97" s="352">
        <f>+Q94+Q95+Q96</f>
        <v>38589.139999999796</v>
      </c>
      <c r="R97" s="353">
        <f>J97-O97</f>
        <v>-6</v>
      </c>
      <c r="S97" s="354">
        <f>S94+S95</f>
        <v>10202.020000000188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-0.18518518518518517</v>
      </c>
      <c r="N98" s="239">
        <f>N97/F97</f>
        <v>-1.4897942386831743E-2</v>
      </c>
      <c r="O98" s="228"/>
      <c r="P98" s="183"/>
      <c r="Q98" s="270"/>
      <c r="R98" s="240">
        <f>R97/O97</f>
        <v>-0.21428571428571427</v>
      </c>
      <c r="S98" s="267">
        <f>IF(Q97=0,0,(S97/Q97))</f>
        <v>0.26437541753975968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25</v>
      </c>
      <c r="E100" s="184">
        <f t="shared" si="23"/>
        <v>350</v>
      </c>
      <c r="F100" s="184">
        <f>+INDEX('Budget original'!$A$2:$AO$501,MATCH($A100,'Budget original'!$A$2:$A$501,0),MATCH(F$2,'Budget original'!$A$2:$AO$2,0))</f>
        <v>8750</v>
      </c>
      <c r="G100" s="187"/>
      <c r="H100" s="184"/>
      <c r="I100" s="184"/>
      <c r="J100" s="187">
        <f>-SUMIFS(BV_Data_An_Cour!$O:$O,BV_Data_An_Cour!$U:$U,$B100,BV_Data_An_Cour!$V:$V,$C100,BV_Data_An_Cour!$W:$W,J$2)</f>
        <v>15</v>
      </c>
      <c r="K100" s="184">
        <f>IF(J100=0,0,L100/J100)</f>
        <v>613.8640000000014</v>
      </c>
      <c r="L100" s="185">
        <f>-SUMIFS(BV_Data_An_Cour!$O:$O,BV_Data_An_Cour!$U:$U,$B100,BV_Data_An_Cour!$V:$V,$C100,BV_Data_An_Cour!$W:$W,L$2)</f>
        <v>9207.960000000021</v>
      </c>
      <c r="M100" s="187">
        <f>J100-D100</f>
        <v>-10</v>
      </c>
      <c r="N100" s="185">
        <f>L100-F100</f>
        <v>457.96000000002095</v>
      </c>
      <c r="O100" s="187">
        <f t="array" ref="O100">+INDEX('Réel 2024'!$A$2:$AO$501,MATCH($A100,'Réel 2024'!$A$2:$A$501,0),MATCH(O$2,'Réel 2024'!$A$2:$AO$2,0))</f>
        <v>16</v>
      </c>
      <c r="P100" s="184">
        <f>IF(O100=0,0,Q100/O100)</f>
        <v>462.19374999999815</v>
      </c>
      <c r="Q100" s="185">
        <f t="array" ref="Q100">+INDEX('Réel 2024'!$A$2:$AO$501,MATCH($A100,'Réel 2024'!$A$2:$A$501,0),MATCH(Q$2,'Réel 2024'!$A$2:$AO$2,0))</f>
        <v>7395.0999999999704</v>
      </c>
      <c r="R100" s="187">
        <f>J100-O100</f>
        <v>-1</v>
      </c>
      <c r="S100" s="350">
        <f>L100-Q100</f>
        <v>1812.8600000000506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10260</v>
      </c>
      <c r="G102" s="187"/>
      <c r="H102" s="184"/>
      <c r="I102" s="184"/>
      <c r="J102" s="187"/>
      <c r="K102" s="184">
        <f>IF(J97=0,0,L102/J97)</f>
        <v>605.96318181818185</v>
      </c>
      <c r="L102" s="185">
        <f>-SUMIFS(BV_Data_An_Cour!$O:$O,BV_Data_An_Cour!$U:$U,$B102,BV_Data_An_Cour!$V:$V,$C102,BV_Data_An_Cour!$W:$W,$L2)</f>
        <v>13331.19</v>
      </c>
      <c r="M102" s="187"/>
      <c r="N102" s="185">
        <f>L102-F102</f>
        <v>3071.1900000000005</v>
      </c>
      <c r="O102" s="187"/>
      <c r="P102" s="184"/>
      <c r="Q102" s="185">
        <f t="array" ref="Q102">+INDEX('Réel 2024'!$A$2:$AO$501,MATCH($A102,'Réel 2024'!$A$2:$A$501,0),MATCH(Q$2,'Réel 2024'!$A$2:$AO$2,0))</f>
        <v>13151.79</v>
      </c>
      <c r="R102" s="187">
        <f>O102-K102</f>
        <v>-605.96318181818185</v>
      </c>
      <c r="S102" s="350">
        <f>L102-Q102</f>
        <v>179.39999999999964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22950</v>
      </c>
      <c r="G103" s="187"/>
      <c r="H103" s="184"/>
      <c r="I103" s="184"/>
      <c r="J103" s="187"/>
      <c r="K103" s="184">
        <f>IF(J97=0,0,L103/J97)</f>
        <v>1538.4390909090905</v>
      </c>
      <c r="L103" s="185">
        <f>-SUMIFS(BV_Data_An_Cour!$O:$O,BV_Data_An_Cour!$U:$U,$B103,BV_Data_An_Cour!$V:$V,$C103,BV_Data_An_Cour!$W:$W,$L2)</f>
        <v>33845.659999999989</v>
      </c>
      <c r="M103" s="187"/>
      <c r="N103" s="185">
        <f>L103-F103</f>
        <v>10895.659999999989</v>
      </c>
      <c r="O103" s="187"/>
      <c r="P103" s="184"/>
      <c r="Q103" s="185">
        <f t="array" ref="Q103">+INDEX('Réel 2024'!$A$2:$AO$501,MATCH($A103,'Réel 2024'!$A$2:$A$501,0),MATCH(Q$2,'Réel 2024'!$A$2:$AO$2,0))</f>
        <v>18323</v>
      </c>
      <c r="R103" s="187">
        <f>O103-K103</f>
        <v>-1538.4390909090905</v>
      </c>
      <c r="S103" s="350">
        <f>L103-Q103</f>
        <v>15522.659999999989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5940</v>
      </c>
      <c r="G104" s="187"/>
      <c r="H104" s="357"/>
      <c r="I104" s="184"/>
      <c r="J104" s="187"/>
      <c r="K104" s="357">
        <f>IF(J97=0,0,L104/J97)</f>
        <v>191.39772727272728</v>
      </c>
      <c r="L104" s="185">
        <f>-SUMIFS(BV_Data_An_Cour!$O:$O,BV_Data_An_Cour!$U:$U,$B104,BV_Data_An_Cour!$V:$V,$C104,BV_Data_An_Cour!$W:$W,$L$2)</f>
        <v>4210.75</v>
      </c>
      <c r="M104" s="356"/>
      <c r="N104" s="185">
        <f>L104-F104</f>
        <v>-1729.25</v>
      </c>
      <c r="O104" s="187"/>
      <c r="P104" s="357"/>
      <c r="Q104" s="185">
        <f t="array" ref="Q104">+INDEX('Réel 2024'!$A$2:$AO$501,MATCH($A104,'Réel 2024'!$A$2:$A$501,0),MATCH(Q$2,'Réel 2024'!$A$2:$AO$2,0))</f>
        <v>4262</v>
      </c>
      <c r="R104" s="187">
        <f>O104-K104</f>
        <v>-191.39772727272728</v>
      </c>
      <c r="S104" s="350">
        <f>L104-Q104</f>
        <v>-51.25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27</v>
      </c>
      <c r="E105" s="184">
        <f t="shared" si="23"/>
        <v>1450</v>
      </c>
      <c r="F105" s="352">
        <f>F102+F103+F104</f>
        <v>39150</v>
      </c>
      <c r="G105" s="353"/>
      <c r="H105" s="351"/>
      <c r="I105" s="352"/>
      <c r="J105" s="353">
        <f>J97</f>
        <v>22</v>
      </c>
      <c r="K105" s="351">
        <f>IF(J105&lt;=0,0,L105/J105)</f>
        <v>2335.7999999999997</v>
      </c>
      <c r="L105" s="352">
        <f>L102+L103+L104</f>
        <v>51387.599999999991</v>
      </c>
      <c r="M105" s="187">
        <f>J105-D105</f>
        <v>-5</v>
      </c>
      <c r="N105" s="352">
        <f>L105-F105</f>
        <v>12237.599999999991</v>
      </c>
      <c r="O105" s="353">
        <f>O97</f>
        <v>28</v>
      </c>
      <c r="P105" s="351">
        <f t="shared" ref="P105" si="25">IF(O105=0,0,Q105/O105)</f>
        <v>1276.3139285714285</v>
      </c>
      <c r="Q105" s="352">
        <f>Q102+Q103+Q104</f>
        <v>35736.79</v>
      </c>
      <c r="R105" s="361"/>
      <c r="S105" s="354">
        <f>L105-Q105</f>
        <v>15650.80999999999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0.31258237547892698</v>
      </c>
      <c r="O106" s="228"/>
      <c r="P106" s="183"/>
      <c r="Q106" s="230"/>
      <c r="R106" s="229"/>
      <c r="S106" s="267">
        <f>IF(Q105=0,0,(S105/Q105))</f>
        <v>0.43794672101215554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52</v>
      </c>
      <c r="E108" s="30">
        <f>IF(D108&lt;=0,0,F108/D108)</f>
        <v>1855.7692307692307</v>
      </c>
      <c r="F108" s="28">
        <f>F97+F105+F100</f>
        <v>96500</v>
      </c>
      <c r="G108" s="29"/>
      <c r="H108" s="30"/>
      <c r="I108" s="28"/>
      <c r="J108" s="29">
        <f>J97+J100</f>
        <v>37</v>
      </c>
      <c r="K108" s="30">
        <f>IF(J108&lt;=0,0,L108/J108)</f>
        <v>2931.6627027027025</v>
      </c>
      <c r="L108" s="28">
        <f>L97+L105+L100</f>
        <v>108471.51999999999</v>
      </c>
      <c r="M108" s="29">
        <f>J108-D108</f>
        <v>-15</v>
      </c>
      <c r="N108" s="28">
        <f>L108-F108</f>
        <v>11971.51999999999</v>
      </c>
      <c r="O108" s="29">
        <f>O97+O100</f>
        <v>44</v>
      </c>
      <c r="P108" s="30">
        <f>IF(O108&lt;=0,0,Q108/O108)</f>
        <v>1857.2961363636311</v>
      </c>
      <c r="Q108" s="28">
        <f>Q97+Q105+Q100</f>
        <v>81721.029999999766</v>
      </c>
      <c r="R108" s="29">
        <f>J108-O108</f>
        <v>-7</v>
      </c>
      <c r="S108" s="326">
        <f>L108-Q108</f>
        <v>26750.490000000224</v>
      </c>
      <c r="T108" s="25"/>
      <c r="U108" s="25"/>
      <c r="V108" s="24" t="s">
        <v>2359</v>
      </c>
      <c r="W108" s="24">
        <v>104700</v>
      </c>
      <c r="X108" s="1195">
        <f>L108-W108</f>
        <v>3771.5199999999895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-0.28846153846153844</v>
      </c>
      <c r="N109" s="34">
        <f>N108/F108</f>
        <v>0.12405720207253876</v>
      </c>
      <c r="O109" s="31"/>
      <c r="P109" s="328"/>
      <c r="Q109" s="32"/>
      <c r="R109" s="33">
        <f>O108/R108</f>
        <v>-6.2857142857142856</v>
      </c>
      <c r="S109" s="362">
        <f>IF(Q108=0,0,(S108/Q108))</f>
        <v>0.32733911944086241</v>
      </c>
      <c r="T109" s="25"/>
      <c r="U109" s="25"/>
      <c r="V109" s="25"/>
      <c r="W109" s="25">
        <v>23</v>
      </c>
      <c r="X109" s="1219">
        <f>J97-W109</f>
        <v>-1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0.18363646287017935</v>
      </c>
      <c r="E112" s="200">
        <f t="shared" ref="E112:E121" si="26">F112/D$97</f>
        <v>596.81850432808289</v>
      </c>
      <c r="F112" s="184">
        <f>+INDEX('Budget original'!$A$2:$AO$501,MATCH($A112,'Budget original'!$A$2:$A$501,0),MATCH(F$2,'Budget original'!$A$2:$AO$2,0))</f>
        <v>16114.099616858237</v>
      </c>
      <c r="G112" s="298"/>
      <c r="H112" s="200"/>
      <c r="I112" s="184"/>
      <c r="J112" s="298">
        <f>L112/L97</f>
        <v>0.30682392582832818</v>
      </c>
      <c r="K112" s="200">
        <f>IF($J$97=0,0,L112/(J$94+J$95+J96))</f>
        <v>667.70409090909095</v>
      </c>
      <c r="L112" s="185">
        <f>SUMIFS(BV_Data_An_Cour!$O:$O,BV_Data_An_Cour!$U:$U,$B112,BV_Data_An_Cour!$V:$V,$C112,BV_Data_An_Cour!$W:$W,$L$2)</f>
        <v>14689.49</v>
      </c>
      <c r="M112" s="228"/>
      <c r="N112" s="230">
        <f t="shared" ref="N112:N153" si="27">L112-F112</f>
        <v>-1424.6096168582371</v>
      </c>
      <c r="O112" s="298">
        <f>Q112/Q97</f>
        <v>0.49916427264251295</v>
      </c>
      <c r="P112" s="200">
        <f t="shared" ref="P112:P121" si="28">Q112/O$97</f>
        <v>687.93999999999994</v>
      </c>
      <c r="Q112" s="185">
        <f t="array" ref="Q112">+INDEX('Réel 2024'!$A$2:$AO$501,MATCH($A112,'Réel 2024'!$A$2:$A$501,0),MATCH(Q$2,'Réel 2024'!$A$2:$AO$2,0))</f>
        <v>19262.32</v>
      </c>
      <c r="R112" s="228"/>
      <c r="S112" s="202">
        <f t="shared" ref="S112:S122" si="29">L112-Q112</f>
        <v>-4572.83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0.2524320070314886</v>
      </c>
      <c r="E113" s="363">
        <f t="shared" si="26"/>
        <v>398.75</v>
      </c>
      <c r="F113" s="182">
        <f>+INDEX('Budget original'!$A$2:$AO$501,MATCH($A113,'Budget original'!$A$2:$A$501,0),MATCH(F$2,'Budget original'!$A$2:$AO$2,0))</f>
        <v>10766.25</v>
      </c>
      <c r="G113" s="325"/>
      <c r="H113" s="363"/>
      <c r="I113" s="182"/>
      <c r="J113" s="325">
        <f>L113/L105</f>
        <v>0.26125855264694214</v>
      </c>
      <c r="K113" s="363">
        <f>IF($J$97=0,0,L113/(J$94+J$95+J96))</f>
        <v>610.24772727272727</v>
      </c>
      <c r="L113" s="185">
        <f>SUMIFS(BV_Data_An_Cour!$O:$O,BV_Data_An_Cour!$U:$U,$B113,BV_Data_An_Cour!$V:$V,$C113,BV_Data_An_Cour!$W:$W,$L$2)</f>
        <v>13425.45</v>
      </c>
      <c r="M113" s="283"/>
      <c r="N113" s="284">
        <f t="shared" si="27"/>
        <v>2659.2000000000007</v>
      </c>
      <c r="O113" s="325">
        <f>Q113/(Q105+Q19)</f>
        <v>0.26313194933342987</v>
      </c>
      <c r="P113" s="363">
        <f t="shared" si="28"/>
        <v>368.68714285714287</v>
      </c>
      <c r="Q113" s="185">
        <f t="array" ref="Q113">+INDEX('Réel 2024'!$A$2:$AO$501,MATCH($A113,'Réel 2024'!$A$2:$A$501,0),MATCH(Q$2,'Réel 2024'!$A$2:$AO$2,0))</f>
        <v>10323.24</v>
      </c>
      <c r="R113" s="283"/>
      <c r="S113" s="205">
        <f t="shared" si="29"/>
        <v>3102.2100000000009</v>
      </c>
      <c r="T113" s="25"/>
      <c r="U113" s="25"/>
      <c r="V113" s="24" t="s">
        <v>2983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90</v>
      </c>
      <c r="F114" s="184">
        <f>+INDEX('Budget original'!$A$2:$AO$501,MATCH($A114,'Budget original'!$A$2:$A$501,0),MATCH(F$2,'Budget original'!$A$2:$AO$2,0))</f>
        <v>2430</v>
      </c>
      <c r="G114" s="274"/>
      <c r="H114" s="200"/>
      <c r="I114" s="184"/>
      <c r="J114" s="228"/>
      <c r="K114" s="200">
        <f>IF($J$97=0,0,L114/(J$94+J$95+J96))</f>
        <v>80.948181818181808</v>
      </c>
      <c r="L114" s="186">
        <f>SUMIFS(BV_Data_An_Cour!$O:$O,BV_Data_An_Cour!$U:$U,$B114,BV_Data_An_Cour!$V:$V,$C114,BV_Data_An_Cour!$W:$W,$L$2)</f>
        <v>1780.86</v>
      </c>
      <c r="M114" s="228"/>
      <c r="N114" s="230">
        <f t="shared" si="27"/>
        <v>-649.1400000000001</v>
      </c>
      <c r="O114" s="228"/>
      <c r="P114" s="200">
        <f t="shared" si="28"/>
        <v>65.156785714285718</v>
      </c>
      <c r="Q114" s="186">
        <f t="array" ref="Q114">+INDEX('Réel 2024'!$A$2:$AO$501,MATCH($A114,'Réel 2024'!$A$2:$A$501,0),MATCH(Q$2,'Réel 2024'!$A$2:$AO$2,0))</f>
        <v>1824.39</v>
      </c>
      <c r="R114" s="228"/>
      <c r="S114" s="202">
        <f t="shared" si="29"/>
        <v>-43.5300000000002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94</v>
      </c>
      <c r="F115" s="184">
        <f>+INDEX('Budget original'!$A$2:$AO$501,MATCH($A115,'Budget original'!$A$2:$A$501,0),MATCH(F$2,'Budget original'!$A$2:$AO$2,0))</f>
        <v>2538</v>
      </c>
      <c r="G115" s="274"/>
      <c r="H115" s="200"/>
      <c r="I115" s="184"/>
      <c r="J115" s="228"/>
      <c r="K115" s="200">
        <f>IF($J$97=0,0,L115/(J$94+J$95+J96))</f>
        <v>37.948181818181816</v>
      </c>
      <c r="L115" s="185">
        <f>SUMIFS(BV_Data_An_Cour!$O:$O,BV_Data_An_Cour!$U:$U,$B115,BV_Data_An_Cour!$V:$V,$C115,BV_Data_An_Cour!$W:$W,$L$2)</f>
        <v>834.86</v>
      </c>
      <c r="M115" s="228"/>
      <c r="N115" s="230">
        <f t="shared" si="27"/>
        <v>-1703.1399999999999</v>
      </c>
      <c r="O115" s="228"/>
      <c r="P115" s="200">
        <f t="shared" si="28"/>
        <v>19.081785714285711</v>
      </c>
      <c r="Q115" s="185">
        <f t="array" ref="Q115">+INDEX('Réel 2024'!$A$2:$AO$501,MATCH($A115,'Réel 2024'!$A$2:$A$501,0),MATCH(Q$2,'Réel 2024'!$A$2:$AO$2,0))</f>
        <v>534.29</v>
      </c>
      <c r="R115" s="228"/>
      <c r="S115" s="202">
        <f t="shared" si="29"/>
        <v>300.57000000000005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72.962962962962962</v>
      </c>
      <c r="F116" s="182">
        <f>+INDEX('Budget original'!$A$2:$AO$501,MATCH($A116,'Budget original'!$A$2:$A$501,0),MATCH(F$2,'Budget original'!$A$2:$AO$2,0))</f>
        <v>1970</v>
      </c>
      <c r="G116" s="282"/>
      <c r="H116" s="363"/>
      <c r="I116" s="182"/>
      <c r="J116" s="283"/>
      <c r="K116" s="363">
        <f>IF($J$97=0,0,L116/(J$94+J$95+J96))</f>
        <v>112.5059090909091</v>
      </c>
      <c r="L116" s="355">
        <f>SUMIFS(BV_Data_An_Cour!$O:$O,BV_Data_An_Cour!$U:$U,$B116,BV_Data_An_Cour!$V:$V,$C116,BV_Data_An_Cour!$W:$W,$L$2)</f>
        <v>2475.13</v>
      </c>
      <c r="M116" s="283"/>
      <c r="N116" s="284">
        <f t="shared" si="27"/>
        <v>505.13000000000011</v>
      </c>
      <c r="O116" s="283"/>
      <c r="P116" s="363">
        <f t="shared" si="28"/>
        <v>64.977499999999992</v>
      </c>
      <c r="Q116" s="355">
        <f t="array" ref="Q116">+INDEX('Réel 2024'!$A$2:$AO$501,MATCH($A116,'Réel 2024'!$A$2:$A$501,0),MATCH(Q$2,'Réel 2024'!$A$2:$AO$2,0))</f>
        <v>1819.37</v>
      </c>
      <c r="R116" s="283"/>
      <c r="S116" s="205">
        <f t="shared" si="29"/>
        <v>655.76000000000022</v>
      </c>
      <c r="T116" s="25"/>
      <c r="U116" s="25"/>
      <c r="V116" s="25" t="s">
        <v>2985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219.44444444444446</v>
      </c>
      <c r="F117" s="184">
        <f>+INDEX('Budget original'!$A$2:$AO$501,MATCH($A117,'Budget original'!$A$2:$A$501,0),MATCH(F$2,'Budget original'!$A$2:$AO$2,0))</f>
        <v>5925</v>
      </c>
      <c r="G117" s="274"/>
      <c r="H117" s="200"/>
      <c r="I117" s="184"/>
      <c r="J117" s="228"/>
      <c r="K117" s="200">
        <f>IF($J$97=0,0,L117/(J$94+J$95+J96))</f>
        <v>225.72954545454547</v>
      </c>
      <c r="L117" s="185">
        <f>SUMIFS(BV_Data_An_Cour!$O:$O,BV_Data_An_Cour!$U:$U,$B117,BV_Data_An_Cour!$V:$V,$C117,BV_Data_An_Cour!$W:$W,$L$2)</f>
        <v>4966.05</v>
      </c>
      <c r="M117" s="228"/>
      <c r="N117" s="230">
        <f t="shared" si="27"/>
        <v>-958.94999999999982</v>
      </c>
      <c r="O117" s="228"/>
      <c r="P117" s="200">
        <f t="shared" si="28"/>
        <v>210.97571428571428</v>
      </c>
      <c r="Q117" s="185">
        <f t="array" ref="Q117">+INDEX('Réel 2024'!$A$2:$AO$501,MATCH($A117,'Réel 2024'!$A$2:$A$501,0),MATCH(Q$2,'Réel 2024'!$A$2:$AO$2,0))</f>
        <v>5907.32</v>
      </c>
      <c r="R117" s="228"/>
      <c r="S117" s="202">
        <f t="shared" si="29"/>
        <v>-941.26999999999953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203.74745294474803</v>
      </c>
      <c r="F118" s="184">
        <f>+INDEX('Budget original'!$A$2:$AO$501,MATCH($A118,'Budget original'!$A$2:$A$501,0),MATCH(F$2,'Budget original'!$A$2:$AO$2,0))</f>
        <v>5501.1812295081972</v>
      </c>
      <c r="G118" s="274"/>
      <c r="H118" s="200"/>
      <c r="I118" s="184"/>
      <c r="J118" s="228"/>
      <c r="K118" s="200">
        <f>IF($J$97=0,0,L118/(J$94+J$95+J96))</f>
        <v>191.83909090909091</v>
      </c>
      <c r="L118" s="185">
        <f>SUMIFS(BV_Data_An_Cour!$O:$O,BV_Data_An_Cour!$U:$U,$B118,BV_Data_An_Cour!$V:$V,$C118,BV_Data_An_Cour!$W:$W,$L$2)</f>
        <v>4220.46</v>
      </c>
      <c r="M118" s="228"/>
      <c r="N118" s="230">
        <f t="shared" si="27"/>
        <v>-1280.7212295081972</v>
      </c>
      <c r="O118" s="228"/>
      <c r="P118" s="200">
        <f t="shared" si="28"/>
        <v>296.82071428571425</v>
      </c>
      <c r="Q118" s="185">
        <f t="array" ref="Q118">+INDEX('Réel 2024'!$A$2:$AO$501,MATCH($A118,'Réel 2024'!$A$2:$A$501,0),MATCH(Q$2,'Réel 2024'!$A$2:$AO$2,0))</f>
        <v>8310.98</v>
      </c>
      <c r="R118" s="228"/>
      <c r="S118" s="202">
        <f>L118-Q118</f>
        <v>-4090.5199999999995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2024'!$A$2:$AO$501,MATCH($A119,'Réel 2024'!$A$2:$A$501,0),MATCH(Q$2,'Réel 2024'!$A$2:$AO$2,0))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2024'!$A$2:$AO$501,MATCH($A120,'Réel 2024'!$A$2:$A$501,0),MATCH(Q$2,'Réel 2024'!$A$2:$AO$2,0))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2024'!$A$2:$AO$501,MATCH($A121,'Réel 2024'!$A$2:$A$501,0),MATCH(Q$2,'Réel 2024'!$A$2:$AO$2,0))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0.46885524193125838</v>
      </c>
      <c r="F122" s="41">
        <f>SUM(F112:F121)</f>
        <v>45244.530846366433</v>
      </c>
      <c r="G122" s="42"/>
      <c r="H122" s="40"/>
      <c r="I122" s="41"/>
      <c r="J122" s="42" t="s">
        <v>108</v>
      </c>
      <c r="K122" s="40">
        <f>L122/L$108</f>
        <v>0.39081502683838126</v>
      </c>
      <c r="L122" s="41">
        <f>SUM(L112:L121)</f>
        <v>42392.3</v>
      </c>
      <c r="M122" s="44"/>
      <c r="N122" s="41">
        <f t="shared" si="27"/>
        <v>-2852.2308463664303</v>
      </c>
      <c r="O122" s="42" t="s">
        <v>108</v>
      </c>
      <c r="P122" s="40">
        <f>Q122/Q$108</f>
        <v>0.58714274648765608</v>
      </c>
      <c r="Q122" s="41">
        <f>SUM(Q112:Q121)</f>
        <v>47981.91</v>
      </c>
      <c r="R122" s="44"/>
      <c r="S122" s="290">
        <f t="shared" si="29"/>
        <v>-5589.6100000000006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5038.0088417329798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4324.1899999999996</v>
      </c>
      <c r="M123" s="228"/>
      <c r="N123" s="230">
        <f t="shared" si="27"/>
        <v>-713.81884173298022</v>
      </c>
      <c r="O123" s="228"/>
      <c r="P123" s="183"/>
      <c r="Q123" s="185">
        <f t="array" ref="Q123">+INDEX('Réel 2024'!$A$2:$AO$501,MATCH($A123,'Réel 2024'!$A$2:$A$501,0),MATCH(Q$2,'Réel 2024'!$A$2:$AO$2,0))</f>
        <v>4165.3100000000004</v>
      </c>
      <c r="R123" s="228"/>
      <c r="S123" s="202">
        <f t="shared" ref="S123:S134" si="31">L123-Q123</f>
        <v>158.8799999999992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2428.1766283524903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2814.78</v>
      </c>
      <c r="M124" s="228"/>
      <c r="N124" s="230">
        <f t="shared" si="27"/>
        <v>386.6033716475099</v>
      </c>
      <c r="O124" s="228"/>
      <c r="P124" s="183"/>
      <c r="Q124" s="182">
        <f t="array" ref="Q124">+INDEX('Réel 2024'!$A$2:$AO$501,MATCH($A124,'Réel 2024'!$A$2:$A$501,0),MATCH(Q$2,'Réel 2024'!$A$2:$AO$2,0))</f>
        <v>2612.09</v>
      </c>
      <c r="R124" s="228"/>
      <c r="S124" s="202">
        <f t="shared" si="31"/>
        <v>202.69000000000005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2024'!$A$2:$AO$501,MATCH($A125,'Réel 2024'!$A$2:$A$501,0),MATCH(Q$2,'Réel 2024'!$A$2:$AO$2,0))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 hidden="1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2024'!$A$2:$AO$501,MATCH($A126,'Réel 2024'!$A$2:$A$501,0),MATCH(Q$2,'Réel 2024'!$A$2:$AO$2,0))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2024'!$A$2:$AO$501,MATCH($A127,'Réel 2024'!$A$2:$A$501,0),MATCH(Q$2,'Réel 2024'!$A$2:$AO$2,0))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2024'!$A$2:$AO$501,MATCH($A128,'Réel 2024'!$A$2:$A$501,0),MATCH(Q$2,'Réel 2024'!$A$2:$AO$2,0))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2024'!$A$2:$AO$501,MATCH($A129,'Réel 2024'!$A$2:$A$501,0),MATCH(Q$2,'Réel 2024'!$A$2:$AO$2,0))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4495.0217890410113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4280.1400000000003</v>
      </c>
      <c r="M130" s="228"/>
      <c r="N130" s="230">
        <f t="shared" si="27"/>
        <v>-214.88178904101096</v>
      </c>
      <c r="O130" s="228"/>
      <c r="P130" s="183"/>
      <c r="Q130" s="185">
        <f t="array" ref="Q130">+INDEX('Réel 2024'!$A$2:$AO$501,MATCH($A130,'Réel 2024'!$A$2:$A$501,0),MATCH(Q$2,'Réel 2024'!$A$2:$AO$2,0))</f>
        <v>2091.5100000000002</v>
      </c>
      <c r="R130" s="228"/>
      <c r="S130" s="202">
        <f>L130-Q130</f>
        <v>2188.63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5247.3307444031834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4660.29</v>
      </c>
      <c r="M131" s="278"/>
      <c r="N131" s="279">
        <f t="shared" si="27"/>
        <v>-587.04074440318345</v>
      </c>
      <c r="O131" s="278"/>
      <c r="P131" s="276"/>
      <c r="Q131" s="379">
        <f t="array" ref="Q131">+INDEX('Réel 2024'!$A$2:$AO$501,MATCH($A131,'Réel 2024'!$A$2:$A$501,0),MATCH(Q$2,'Réel 2024'!$A$2:$AO$2,0))</f>
        <v>4566.9399999999996</v>
      </c>
      <c r="R131" s="278"/>
      <c r="S131" s="204">
        <f t="shared" si="31"/>
        <v>93.350000000000364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2700.8320007957564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2248.29</v>
      </c>
      <c r="M132" s="228"/>
      <c r="N132" s="230">
        <f t="shared" si="27"/>
        <v>-452.54200079575639</v>
      </c>
      <c r="O132" s="228"/>
      <c r="P132" s="183"/>
      <c r="Q132" s="185">
        <f t="array" ref="Q132">+INDEX('Réel 2024'!$A$2:$AO$501,MATCH($A132,'Réel 2024'!$A$2:$A$501,0),MATCH(Q$2,'Réel 2024'!$A$2:$AO$2,0))</f>
        <v>1987.58</v>
      </c>
      <c r="R132" s="228"/>
      <c r="S132" s="202">
        <f t="shared" si="31"/>
        <v>260.71000000000004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578.74971445623339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798.12</v>
      </c>
      <c r="M133" s="228"/>
      <c r="N133" s="230">
        <f t="shared" si="27"/>
        <v>219.37028554376661</v>
      </c>
      <c r="O133" s="228"/>
      <c r="P133" s="183"/>
      <c r="Q133" s="185">
        <f t="array" ref="Q133">+INDEX('Réel 2024'!$A$2:$AO$501,MATCH($A133,'Réel 2024'!$A$2:$A$501,0),MATCH(Q$2,'Réel 2024'!$A$2:$AO$2,0))</f>
        <v>590.58000000000004</v>
      </c>
      <c r="R133" s="228"/>
      <c r="S133" s="202">
        <f t="shared" si="31"/>
        <v>207.53999999999996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2024'!$A$2:$AO$501,MATCH($A134,'Réel 2024'!$A$2:$A$501,0),MATCH(Q$2,'Réel 2024'!$A$2:$AO$2,0))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0.24142092972830731</v>
      </c>
      <c r="F135" s="41">
        <f>+SUM(F123:F134)</f>
        <v>23297.119718781654</v>
      </c>
      <c r="G135" s="42"/>
      <c r="H135" s="40"/>
      <c r="I135" s="41"/>
      <c r="J135" s="42" t="s">
        <v>108</v>
      </c>
      <c r="K135" s="40">
        <f>L135/L$108</f>
        <v>0.20221722715787521</v>
      </c>
      <c r="L135" s="41">
        <f>SUM(L123:L134)</f>
        <v>21934.81</v>
      </c>
      <c r="M135" s="1046"/>
      <c r="N135" s="1047">
        <f t="shared" si="27"/>
        <v>-1362.3097187816529</v>
      </c>
      <c r="O135" s="42" t="s">
        <v>108</v>
      </c>
      <c r="P135" s="40">
        <f>Q135/Q$108</f>
        <v>0.23033251049332168</v>
      </c>
      <c r="Q135" s="41">
        <f>+SUM(Q123:Q134)</f>
        <v>18823.010000000002</v>
      </c>
      <c r="R135" s="43"/>
      <c r="S135" s="286">
        <f t="shared" ref="S135:S148" si="32">L135-Q135</f>
        <v>3111.7999999999993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2024'!$A$2:$AO$501,MATCH($A136,'Réel 2024'!$A$2:$A$501,0),MATCH(Q$2,'Réel 2024'!$A$2:$AO$2,0))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2024'!$A$2:$AO$501,MATCH($A137,'Réel 2024'!$A$2:$A$501,0),MATCH(Q$2,'Réel 2024'!$A$2:$AO$2,0))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943.63333333333344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667.7</v>
      </c>
      <c r="M138" s="283"/>
      <c r="N138" s="284">
        <f t="shared" si="27"/>
        <v>-275.93333333333339</v>
      </c>
      <c r="O138" s="283"/>
      <c r="P138" s="281"/>
      <c r="Q138" s="182">
        <f t="array" ref="Q138">+INDEX('Réel 2024'!$A$2:$AO$501,MATCH($A138,'Réel 2024'!$A$2:$A$501,0),MATCH(Q$2,'Réel 2024'!$A$2:$AO$2,0))</f>
        <v>1083.7</v>
      </c>
      <c r="R138" s="283"/>
      <c r="S138" s="205">
        <f t="shared" si="32"/>
        <v>-416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1425.4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1412</v>
      </c>
      <c r="M139" s="228"/>
      <c r="N139" s="230">
        <f t="shared" si="27"/>
        <v>-13.400000000000091</v>
      </c>
      <c r="O139" s="228"/>
      <c r="P139" s="183"/>
      <c r="Q139" s="185">
        <f t="array" ref="Q139">+INDEX('Réel 2024'!$A$2:$AO$501,MATCH($A139,'Réel 2024'!$A$2:$A$501,0),MATCH(Q$2,'Réel 2024'!$A$2:$AO$2,0))</f>
        <v>1295.0999999999999</v>
      </c>
      <c r="R139" s="228"/>
      <c r="S139" s="202">
        <f t="shared" si="32"/>
        <v>116.90000000000009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183.33333333333334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247</v>
      </c>
      <c r="M140" s="228"/>
      <c r="N140" s="230">
        <f t="shared" si="27"/>
        <v>63.666666666666657</v>
      </c>
      <c r="O140" s="228"/>
      <c r="P140" s="183"/>
      <c r="Q140" s="185">
        <f t="array" ref="Q140">+INDEX('Réel 2024'!$A$2:$AO$501,MATCH($A140,'Réel 2024'!$A$2:$A$501,0),MATCH(Q$2,'Réel 2024'!$A$2:$AO$2,0))</f>
        <v>394.46</v>
      </c>
      <c r="R140" s="228"/>
      <c r="S140" s="202">
        <f t="shared" si="32"/>
        <v>-147.45999999999998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736.6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1032.31</v>
      </c>
      <c r="M141" s="283"/>
      <c r="N141" s="284">
        <f t="shared" si="27"/>
        <v>295.70999999999992</v>
      </c>
      <c r="O141" s="283"/>
      <c r="P141" s="281"/>
      <c r="Q141" s="182">
        <f t="array" ref="Q141">+INDEX('Réel 2024'!$A$2:$AO$501,MATCH($A141,'Réel 2024'!$A$2:$A$501,0),MATCH(Q$2,'Réel 2024'!$A$2:$AO$2,0))</f>
        <v>758.85</v>
      </c>
      <c r="R141" s="283"/>
      <c r="S141" s="205">
        <f t="shared" si="32"/>
        <v>273.45999999999992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17.5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-17.5</v>
      </c>
      <c r="O142" s="228"/>
      <c r="P142" s="183"/>
      <c r="Q142" s="185">
        <f t="array" ref="Q142">+INDEX('Réel 2024'!$A$2:$AO$501,MATCH($A142,'Réel 2024'!$A$2:$A$501,0),MATCH(Q$2,'Réel 2024'!$A$2:$AO$2,0))</f>
        <v>0</v>
      </c>
      <c r="R142" s="228"/>
      <c r="S142" s="202">
        <f t="shared" si="32"/>
        <v>0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10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66</v>
      </c>
      <c r="M143" s="228"/>
      <c r="N143" s="230">
        <f t="shared" si="27"/>
        <v>56</v>
      </c>
      <c r="O143" s="228"/>
      <c r="P143" s="183"/>
      <c r="Q143" s="185">
        <f t="array" ref="Q143">+INDEX('Réel 2024'!$A$2:$AO$501,MATCH($A143,'Réel 2024'!$A$2:$A$501,0),MATCH(Q$2,'Réel 2024'!$A$2:$AO$2,0))</f>
        <v>0</v>
      </c>
      <c r="R143" s="228"/>
      <c r="S143" s="202">
        <f t="shared" si="32"/>
        <v>66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157.5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159.87</v>
      </c>
      <c r="M144" s="228"/>
      <c r="N144" s="230">
        <f t="shared" si="27"/>
        <v>2.3700000000000045</v>
      </c>
      <c r="O144" s="228"/>
      <c r="P144" s="183"/>
      <c r="Q144" s="478">
        <f t="array" ref="Q144">+INDEX('Réel 2024'!$A$2:$AO$501,MATCH($A144,'Réel 2024'!$A$2:$A$501,0),MATCH(Q$2,'Réel 2024'!$A$2:$AO$2,0))</f>
        <v>104.08</v>
      </c>
      <c r="R144" s="228"/>
      <c r="S144" s="202">
        <f t="shared" si="32"/>
        <v>55.790000000000006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60.38</v>
      </c>
      <c r="M145" s="228"/>
      <c r="N145" s="230">
        <f t="shared" si="27"/>
        <v>-2.8200000000000003</v>
      </c>
      <c r="O145" s="228"/>
      <c r="P145" s="183"/>
      <c r="Q145" s="185">
        <f t="array" ref="Q145">+INDEX('Réel 2024'!$A$2:$AO$501,MATCH($A145,'Réel 2024'!$A$2:$A$501,0),MATCH(Q$2,'Réel 2024'!$A$2:$AO$2,0))</f>
        <v>81.98</v>
      </c>
      <c r="R145" s="228"/>
      <c r="S145" s="202">
        <f t="shared" si="32"/>
        <v>-21.6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45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49.5</v>
      </c>
      <c r="M146" s="228"/>
      <c r="N146" s="230">
        <f t="shared" si="27"/>
        <v>4.5</v>
      </c>
      <c r="O146" s="228"/>
      <c r="P146" s="183"/>
      <c r="Q146" s="185">
        <f t="array" ref="Q146">+INDEX('Réel 2024'!$A$2:$AO$501,MATCH($A146,'Réel 2024'!$A$2:$A$501,0),MATCH(Q$2,'Réel 2024'!$A$2:$AO$2,0))</f>
        <v>96.34</v>
      </c>
      <c r="R146" s="228"/>
      <c r="S146" s="202">
        <f t="shared" si="32"/>
        <v>-46.84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174.10000000000002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151.6</v>
      </c>
      <c r="M147" s="228"/>
      <c r="N147" s="230">
        <f t="shared" si="27"/>
        <v>-22.500000000000028</v>
      </c>
      <c r="O147" s="228"/>
      <c r="P147" s="183"/>
      <c r="Q147" s="185">
        <f t="array" ref="Q147">+INDEX('Réel 2024'!$A$2:$AO$501,MATCH($A147,'Réel 2024'!$A$2:$A$501,0),MATCH(Q$2,'Réel 2024'!$A$2:$AO$2,0))</f>
        <v>185.1</v>
      </c>
      <c r="R147" s="228"/>
      <c r="S147" s="202">
        <f t="shared" si="32"/>
        <v>-33.5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124.04077999999998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121.83</v>
      </c>
      <c r="M148" s="228"/>
      <c r="N148" s="230">
        <f t="shared" si="27"/>
        <v>-2.2107799999999855</v>
      </c>
      <c r="O148" s="228"/>
      <c r="P148" s="183"/>
      <c r="Q148" s="185">
        <f t="array" ref="Q148">+INDEX('Réel 2024'!$A$2:$AO$501,MATCH($A148,'Réel 2024'!$A$2:$A$501,0),MATCH(Q$2,'Réel 2024'!$A$2:$AO$2,0))</f>
        <v>65.39</v>
      </c>
      <c r="R148" s="228"/>
      <c r="S148" s="202">
        <f t="shared" si="32"/>
        <v>56.44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907.42156600810199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994.64</v>
      </c>
      <c r="M149" s="228"/>
      <c r="N149" s="230">
        <f t="shared" si="27"/>
        <v>87.218433991897996</v>
      </c>
      <c r="O149" s="228"/>
      <c r="P149" s="183"/>
      <c r="Q149" s="185">
        <f t="array" ref="Q149">+INDEX('Réel 2024'!$A$2:$AO$501,MATCH($A149,'Réel 2024'!$A$2:$A$501,0),MATCH(Q$2,'Réel 2024'!$A$2:$AO$2,0))</f>
        <v>975.13</v>
      </c>
      <c r="R149" s="228"/>
      <c r="S149" s="202">
        <f>L149-Q149</f>
        <v>19.509999999999991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2024'!$A$2:$AO$501,MATCH($A150,'Réel 2024'!$A$2:$A$501,0),MATCH(Q$2,'Réel 2024'!$A$2:$AO$2,0))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2024'!$A$2:$AO$501,MATCH($A151,'Réel 2024'!$A$2:$A$501,0),MATCH(Q$2,'Réel 2024'!$A$2:$AO$2,0))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2024'!$A$2:$AO$501,MATCH($A152,'Réel 2024'!$A$2:$A$501,0),MATCH(Q$2,'Réel 2024'!$A$2:$AO$2,0))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4.9613772152070142E-2</v>
      </c>
      <c r="F153" s="41">
        <f>+SUM(F136:F152)</f>
        <v>4787.7290126747685</v>
      </c>
      <c r="G153" s="42"/>
      <c r="H153" s="40"/>
      <c r="I153" s="41"/>
      <c r="J153" s="42" t="s">
        <v>108</v>
      </c>
      <c r="K153" s="40">
        <f>L153/L$108</f>
        <v>4.5752378135753981E-2</v>
      </c>
      <c r="L153" s="41">
        <f>+SUM(L136:L152)</f>
        <v>4962.83</v>
      </c>
      <c r="M153" s="44"/>
      <c r="N153" s="41">
        <f t="shared" si="27"/>
        <v>175.10098732523147</v>
      </c>
      <c r="O153" s="42" t="s">
        <v>108</v>
      </c>
      <c r="P153" s="40">
        <f>Q153/Q$108</f>
        <v>6.1674822258114152E-2</v>
      </c>
      <c r="Q153" s="41">
        <f>+SUM(Q136:Q152)</f>
        <v>5040.13</v>
      </c>
      <c r="R153" s="44"/>
      <c r="S153" s="290">
        <f>L153-Q153</f>
        <v>-77.300000000000182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0.75988994381163577</v>
      </c>
      <c r="F155" s="41">
        <f>F122+F135+F153</f>
        <v>73329.379577822852</v>
      </c>
      <c r="G155" s="42"/>
      <c r="H155" s="40"/>
      <c r="I155" s="41"/>
      <c r="J155" s="42" t="s">
        <v>108</v>
      </c>
      <c r="K155" s="40">
        <f>L155/L$108</f>
        <v>0.63878463213201042</v>
      </c>
      <c r="L155" s="41">
        <f>L122+L135+L153</f>
        <v>69289.94</v>
      </c>
      <c r="M155" s="44"/>
      <c r="N155" s="46">
        <f t="shared" ref="N155:N162" si="33">L155-F155</f>
        <v>-4039.43957782285</v>
      </c>
      <c r="O155" s="42" t="s">
        <v>108</v>
      </c>
      <c r="P155" s="40">
        <f>Q155/Q$108</f>
        <v>0.87915007923909205</v>
      </c>
      <c r="Q155" s="41">
        <f>Q122+Q135+Q153</f>
        <v>71845.050000000017</v>
      </c>
      <c r="R155" s="44"/>
      <c r="S155" s="286">
        <f t="shared" ref="S155:S162" si="34">L155-Q155</f>
        <v>-2555.1100000000151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3375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3000</v>
      </c>
      <c r="M156" s="228"/>
      <c r="N156" s="230">
        <f t="shared" si="33"/>
        <v>-375</v>
      </c>
      <c r="O156" s="366"/>
      <c r="P156" s="365"/>
      <c r="Q156" s="185">
        <f t="array" ref="Q156">+INDEX('Réel 2024'!$A$2:$AO$501,MATCH($A156,'Réel 2024'!$A$2:$A$501,0),MATCH(Q$2,'Réel 2024'!$A$2:$AO$2,0))</f>
        <v>2625</v>
      </c>
      <c r="R156" s="228"/>
      <c r="S156" s="202">
        <f t="shared" si="34"/>
        <v>375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1206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-2050</v>
      </c>
      <c r="M157" s="228"/>
      <c r="N157" s="230">
        <f t="shared" si="33"/>
        <v>-3256</v>
      </c>
      <c r="O157" s="366"/>
      <c r="P157" s="365"/>
      <c r="Q157" s="185">
        <f t="array" ref="Q157">+INDEX('Réel 2024'!$A$2:$AO$501,MATCH($A157,'Réel 2024'!$A$2:$A$501,0),MATCH(Q$2,'Réel 2024'!$A$2:$AO$2,0))</f>
        <v>0</v>
      </c>
      <c r="R157" s="228"/>
      <c r="S157" s="202">
        <f t="shared" si="34"/>
        <v>-2050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2024'!$A$2:$AO$501,MATCH($A158,'Réel 2024'!$A$2:$A$501,0),MATCH(Q$2,'Réel 2024'!$A$2:$AO$2,0))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13333.949999999999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12495</v>
      </c>
      <c r="M159" s="228"/>
      <c r="N159" s="230">
        <f t="shared" si="33"/>
        <v>-838.94999999999891</v>
      </c>
      <c r="O159" s="228"/>
      <c r="P159" s="183"/>
      <c r="Q159" s="185">
        <f t="array" ref="Q159">+INDEX('Réel 2024'!$A$2:$AO$501,MATCH($A159,'Réel 2024'!$A$2:$A$501,0),MATCH(Q$2,'Réel 2024'!$A$2:$AO$2,0))</f>
        <v>13090</v>
      </c>
      <c r="R159" s="228"/>
      <c r="S159" s="202">
        <f t="shared" si="34"/>
        <v>-595</v>
      </c>
      <c r="T159" s="45"/>
      <c r="U159" s="25"/>
      <c r="V159" s="24">
        <f>L159/595</f>
        <v>21</v>
      </c>
      <c r="W159" s="1165">
        <f>V159/J97</f>
        <v>0.95454545454545459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2024'!$A$2:$AO$501,MATCH($A160,'Réel 2024'!$A$2:$A$501,0),MATCH(Q$2,'Réel 2024'!$A$2:$AO$2,0))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2024'!$A$2:$AO$501,MATCH($A161,'Réel 2024'!$A$2:$A$501,0),MATCH(Q$2,'Réel 2024'!$A$2:$AO$2,0))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2024'!$A$2:$AO$501,MATCH($A162,'Réel 2024'!$A$2:$A$501,0),MATCH(Q$2,'Réel 2024'!$A$2:$AO$2,0))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17914.949999999997</v>
      </c>
      <c r="G163" s="42"/>
      <c r="H163" s="40"/>
      <c r="I163" s="41"/>
      <c r="J163" s="42"/>
      <c r="K163" s="40"/>
      <c r="L163" s="41">
        <f>+SUM(L156:L162)</f>
        <v>13445</v>
      </c>
      <c r="M163" s="44"/>
      <c r="N163" s="41">
        <f>SUM(N156:N159)</f>
        <v>-4469.9499999999989</v>
      </c>
      <c r="O163" s="42"/>
      <c r="P163" s="40"/>
      <c r="Q163" s="41">
        <f>+SUM(Q156:Q162)</f>
        <v>15715</v>
      </c>
      <c r="R163" s="44"/>
      <c r="S163" s="290">
        <f>+SUM(S156:S162)</f>
        <v>-2270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41085.570422177145</v>
      </c>
      <c r="G165" s="312"/>
      <c r="H165" s="310"/>
      <c r="I165" s="311"/>
      <c r="J165" s="313"/>
      <c r="K165" s="314"/>
      <c r="L165" s="311">
        <f>L108-L155+L163</f>
        <v>52626.579999999987</v>
      </c>
      <c r="M165" s="313"/>
      <c r="N165" s="311">
        <f>L165-F165</f>
        <v>11541.009577822842</v>
      </c>
      <c r="O165" s="313"/>
      <c r="P165" s="314"/>
      <c r="Q165" s="311">
        <f>Q108-Q155+Q163</f>
        <v>25590.979999999749</v>
      </c>
      <c r="R165" s="313"/>
      <c r="S165" s="315">
        <f>L165-Q165</f>
        <v>27035.600000000239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Avril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39" t="s">
        <v>77</v>
      </c>
      <c r="E170" s="1240"/>
      <c r="F170" s="1241"/>
      <c r="G170" s="1244"/>
      <c r="H170" s="1240"/>
      <c r="I170" s="1241"/>
      <c r="J170" s="1244" t="s">
        <v>78</v>
      </c>
      <c r="K170" s="1240"/>
      <c r="L170" s="1241"/>
      <c r="M170" s="1244" t="s">
        <v>2443</v>
      </c>
      <c r="N170" s="1241"/>
      <c r="O170" s="1239" t="s">
        <v>79</v>
      </c>
      <c r="P170" s="1240"/>
      <c r="Q170" s="1241"/>
      <c r="R170" s="1242" t="s">
        <v>2447</v>
      </c>
      <c r="S170" s="1243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180">
        <f>+INDEX('Budget original'!$A$2:$AO$501,MATCH($A172,'Budget original'!$A$2:$A$501,0),MATCH(D$2,'Budget original'!$A$2:$AO$2,0))</f>
        <v>273.712365474585</v>
      </c>
      <c r="E172" s="200">
        <f>+INDEX('Budget original'!$A$2:$AO$501,MATCH($A172,'Budget original'!$A$2:$A$501,0),MATCH(E$2,'Budget original'!$A$2:$AO$2,0))</f>
        <v>93062.2042613589</v>
      </c>
      <c r="F172" s="200">
        <f>+INDEX('Budget original'!$A$2:$AO$501,MATCH($A172,'Budget original'!$A$2:$A$501,0),MATCH(F$2,'Budget original'!$A$2:$AO$2,0))</f>
        <v>72960.768140905377</v>
      </c>
      <c r="G172" s="316"/>
      <c r="H172" s="200"/>
      <c r="I172" s="200"/>
      <c r="J172" s="229">
        <f>-SUMIFS(BV_Data_An_Cour!$O:$O,BV_Data_An_Cour!$U:$U,$B172,BV_Data_An_Cour!$V:$V,$C172,BV_Data_An_Cour!$W:$W,J$2)</f>
        <v>399</v>
      </c>
      <c r="K172" s="184">
        <f>-SUMIFS(BV_Data_An_Cour!$O:$O,BV_Data_An_Cour!$X:$X,"Oui",BV_Data_An_Cour!$U:$U,$B172,BV_Data_An_Cour!$V:$V,$C172)</f>
        <v>116282.79</v>
      </c>
      <c r="L172" s="185">
        <f>-SUMIFS(BV_Data_An_Cour!$O:$O,BV_Data_An_Cour!$U:$U,$B172,BV_Data_An_Cour!$V:$V,$C172,BV_Data_An_Cour!$W:$W,$L$2)</f>
        <v>92508.09</v>
      </c>
      <c r="M172" s="298">
        <f>(K172-E172)/E172</f>
        <v>0.24951682504132022</v>
      </c>
      <c r="N172" s="230">
        <f>L172-F172</f>
        <v>19547.32185909462</v>
      </c>
      <c r="O172" s="229">
        <f t="array" ref="O172">+INDEX('Réel 2024'!$A$2:$AO$501,MATCH($A172,'Réel 2024'!$A$2:$A$501,0),MATCH(O$2,'Réel 2024'!$A$2:$AO$2,0))</f>
        <v>296</v>
      </c>
      <c r="P172" s="184">
        <f t="array" ref="P172">+INDEX('Réel 2024'!$A$2:$AO$501,MATCH($A172,'Réel 2024'!$A$2:$A$501,0),MATCH(P$2,'Réel 2024'!$A$2:$AO$2,0))</f>
        <v>84593.209999999905</v>
      </c>
      <c r="Q172" s="185">
        <f t="array" ref="Q172">+INDEX('Réel 2024'!$A$2:$AO$501,MATCH($A172,'Réel 2024'!$A$2:$A$501,0),MATCH(Q$2,'Réel 2024'!$A$2:$AO$2,0))</f>
        <v>66593.14</v>
      </c>
      <c r="R172" s="298">
        <f>IF(O172=0,0,J172/O172)</f>
        <v>1.347972972972973</v>
      </c>
      <c r="S172" s="202">
        <f>L172-Q172</f>
        <v>25914.949999999997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180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0.7955441213613812</v>
      </c>
      <c r="M173" s="298"/>
      <c r="N173" s="230"/>
      <c r="O173" s="229"/>
      <c r="P173" s="183"/>
      <c r="Q173" s="232">
        <f>Q172/P172</f>
        <v>0.78721613708712646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118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291.43556390977443</v>
      </c>
      <c r="L174" s="323"/>
      <c r="M174" s="325"/>
      <c r="N174" s="284"/>
      <c r="O174" s="307"/>
      <c r="P174" s="502">
        <f>IFERROR(P172/O172,0)</f>
        <v>285.78787162162132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1182">
        <f>+INDEX('Budget original'!$A$2:$AO$501,MATCH($A175,'Budget original'!$A$2:$A$501,0),MATCH(D$2,'Budget original'!$A$2:$AO$2,0))</f>
        <v>139.72368088944927</v>
      </c>
      <c r="E175" s="200">
        <f>+INDEX('Budget original'!$A$2:$AO$501,MATCH($A175,'Budget original'!$A$2:$A$501,0),MATCH(E$2,'Budget original'!$A$2:$AO$2,0))</f>
        <v>20399.657409859592</v>
      </c>
      <c r="F175" s="200">
        <f>+INDEX('Budget original'!$A$2:$AO$501,MATCH($A175,'Budget original'!$A$2:$A$501,0),MATCH(F$2,'Budget original'!$A$2:$AO$2,0))</f>
        <v>13055.780742310139</v>
      </c>
      <c r="G175" s="319"/>
      <c r="H175" s="200"/>
      <c r="I175" s="200"/>
      <c r="J175" s="319">
        <f>-SUMIFS(BV_Data_An_Cour!$O:$O,BV_Data_An_Cour!$U:$U,$B175,BV_Data_An_Cour!$V:$V,$C175,BV_Data_An_Cour!$W:$W,J$2)</f>
        <v>134</v>
      </c>
      <c r="K175" s="191">
        <f>-SUMIFS(BV_Data_An_Cour!$O:$O,BV_Data_An_Cour!$X:$X,"Oui",BV_Data_An_Cour!$U:$U,$B175,BV_Data_An_Cour!$V:$V,$C175)</f>
        <v>22562.369999999995</v>
      </c>
      <c r="L175" s="185">
        <f>-SUMIFS(BV_Data_An_Cour!$O:$O,BV_Data_An_Cour!$U:$U,$B175,BV_Data_An_Cour!$V:$V,$C175,BV_Data_An_Cour!$W:$W,$L$2)</f>
        <v>15261.769999999995</v>
      </c>
      <c r="M175" s="298">
        <f>(K175-E175)/E175</f>
        <v>0.10601710345856681</v>
      </c>
      <c r="N175" s="279">
        <f>L175-F175</f>
        <v>2205.9892576898565</v>
      </c>
      <c r="O175" s="319">
        <f t="array" ref="O175">+INDEX('Réel 2024'!$A$2:$AO$501,MATCH($A175,'Réel 2024'!$A$2:$A$501,0),MATCH(O$2,'Réel 2024'!$A$2:$AO$2,0))</f>
        <v>151</v>
      </c>
      <c r="P175" s="191">
        <f t="array" ref="P175">+INDEX('Réel 2024'!$A$2:$AO$501,MATCH($A175,'Réel 2024'!$A$2:$A$501,0),MATCH(P$2,'Réel 2024'!$A$2:$AO$2,0))</f>
        <v>19987.38</v>
      </c>
      <c r="Q175" s="185">
        <f t="array" ref="Q175">+INDEX('Réel 2024'!$A$2:$AO$501,MATCH($A175,'Réel 2024'!$A$2:$A$501,0),MATCH(Q$2,'Réel 2024'!$A$2:$AO$2,0))</f>
        <v>12979.78</v>
      </c>
      <c r="R175" s="298">
        <f>IF(O175=0,0,J175/O175)</f>
        <v>0.88741721854304634</v>
      </c>
      <c r="S175" s="202">
        <f>L175-Q175</f>
        <v>2281.9899999999943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180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0.67642583647019339</v>
      </c>
      <c r="M176" s="240"/>
      <c r="N176" s="239"/>
      <c r="O176" s="228"/>
      <c r="P176" s="183"/>
      <c r="Q176" s="232">
        <f>Q175/P175</f>
        <v>0.64939877062426388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11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132.36675496688741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180">
        <f>+INDEX('Budget original'!$A$2:$AO$501,MATCH($A178,'Budget original'!$A$2:$A$501,0),MATCH(D$2,'Budget original'!$A$2:$AO$2,0))</f>
        <v>187.4791556782491</v>
      </c>
      <c r="E178" s="200">
        <f>+INDEX('Budget original'!$A$2:$AO$501,MATCH($A178,'Budget original'!$A$2:$A$501,0),MATCH(E$2,'Budget original'!$A$2:$AO$2,0))</f>
        <v>44994.997362779788</v>
      </c>
      <c r="F178" s="200">
        <f>+INDEX('Budget original'!$A$2:$AO$501,MATCH($A178,'Budget original'!$A$2:$A$501,0),MATCH(F$2,'Budget original'!$A$2:$AO$2,0))</f>
        <v>30371.623219876357</v>
      </c>
      <c r="G178" s="228"/>
      <c r="H178" s="200"/>
      <c r="I178" s="200"/>
      <c r="J178" s="229">
        <f>-SUMIFS(BV_Data_An_Cour!$O:$O,BV_Data_An_Cour!$U:$U,$B178,BV_Data_An_Cour!$V:$V,$C178,BV_Data_An_Cour!$W:$W,J$2)</f>
        <v>115</v>
      </c>
      <c r="K178" s="191">
        <f>-SUMIFS(BV_Data_An_Cour!$O:$O,BV_Data_An_Cour!$X:$X,"Oui",BV_Data_An_Cour!$U:$U,$B178,BV_Data_An_Cour!$V:$V,$C178)</f>
        <v>42655.229999999996</v>
      </c>
      <c r="L178" s="185">
        <f>-SUMIFS(BV_Data_An_Cour!$O:$O,BV_Data_An_Cour!$U:$U,$B178,BV_Data_An_Cour!$V:$V,$C178,BV_Data_An_Cour!$W:$W,$L$2)</f>
        <v>32705.46</v>
      </c>
      <c r="M178" s="298">
        <f>(K178-E178)/E178</f>
        <v>-5.2000611177172022E-2</v>
      </c>
      <c r="N178" s="230">
        <f>L178-F178</f>
        <v>2333.8367801236418</v>
      </c>
      <c r="O178" s="229">
        <f t="array" ref="O178">+INDEX('Réel 2024'!$A$2:$AO$501,MATCH($A178,'Réel 2024'!$A$2:$A$501,0),MATCH(O$2,'Réel 2024'!$A$2:$AO$2,0))</f>
        <v>188</v>
      </c>
      <c r="P178" s="191">
        <f t="array" ref="P178">+INDEX('Réel 2024'!$A$2:$AO$501,MATCH($A178,'Réel 2024'!$A$2:$A$501,0),MATCH(P$2,'Réel 2024'!$A$2:$AO$2,0))</f>
        <v>41586.22</v>
      </c>
      <c r="Q178" s="185">
        <f t="array" ref="Q178">+INDEX('Réel 2024'!$A$2:$AO$501,MATCH($A178,'Réel 2024'!$A$2:$A$501,0),MATCH(Q$2,'Réel 2024'!$A$2:$AO$2,0))</f>
        <v>23730.2</v>
      </c>
      <c r="R178" s="298">
        <f>IF(O178=0,0,J178/O178)</f>
        <v>0.61170212765957444</v>
      </c>
      <c r="S178" s="202">
        <f>L178-Q178</f>
        <v>8975.2599999999984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180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0.76673974094149777</v>
      </c>
      <c r="M179" s="298"/>
      <c r="N179" s="230">
        <f>L179-F179</f>
        <v>9.1739740941497727E-2</v>
      </c>
      <c r="O179" s="229"/>
      <c r="P179" s="231"/>
      <c r="Q179" s="232">
        <f>Q178/P178</f>
        <v>0.57062652003476155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18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221.20329787234044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1182">
        <f>+INDEX('Budget original'!$A$2:$AO$501,MATCH($A181,'Budget original'!$A$2:$A$501,0),MATCH(D$2,'Budget original'!$A$2:$AO$2,0))</f>
        <v>123.16699884474895</v>
      </c>
      <c r="E181" s="200">
        <f>+INDEX('Budget original'!$A$2:$AO$501,MATCH($A181,'Budget original'!$A$2:$A$501,0),MATCH(E$2,'Budget original'!$A$2:$AO$2,0))</f>
        <v>24633.399768949788</v>
      </c>
      <c r="F181" s="200">
        <f>+INDEX('Budget original'!$A$2:$AO$501,MATCH($A181,'Budget original'!$A$2:$A$501,0),MATCH(F$2,'Budget original'!$A$2:$AO$2,0))</f>
        <v>9853.3599075799157</v>
      </c>
      <c r="G181" s="278"/>
      <c r="H181" s="200"/>
      <c r="I181" s="200"/>
      <c r="J181" s="319">
        <f>-SUMIFS(BV_Data_An_Cour!$O:$O,BV_Data_An_Cour!$U:$U,$B181,BV_Data_An_Cour!$V:$V,$C181,BV_Data_An_Cour!$W:$W,J$2)</f>
        <v>101</v>
      </c>
      <c r="K181" s="191">
        <f>-SUMIFS(BV_Data_An_Cour!$O:$O,BV_Data_An_Cour!$X:$X,"Oui",BV_Data_An_Cour!$U:$U,$B181,BV_Data_An_Cour!$V:$V,$C181)</f>
        <v>20603.629999999997</v>
      </c>
      <c r="L181" s="186">
        <f>-SUMIFS(BV_Data_An_Cour!$O:$O,BV_Data_An_Cour!$U:$U,$B181,BV_Data_An_Cour!$V:$V,$C181,BV_Data_An_Cour!$W:$W,$L$2)</f>
        <v>14990.73</v>
      </c>
      <c r="M181" s="320">
        <f>IF(E181=0,0,(K181-E181)/E181)</f>
        <v>-0.16358967120849005</v>
      </c>
      <c r="N181" s="279">
        <f>L181-F181</f>
        <v>5137.3700924200839</v>
      </c>
      <c r="O181" s="319">
        <f t="array" ref="O181">+INDEX('Réel 2024'!$A$2:$AO$501,MATCH($A181,'Réel 2024'!$A$2:$A$501,0),MATCH(O$2,'Réel 2024'!$A$2:$AO$2,0))</f>
        <v>129</v>
      </c>
      <c r="P181" s="191">
        <f t="array" ref="P181">+INDEX('Réel 2024'!$A$2:$AO$501,MATCH($A181,'Réel 2024'!$A$2:$A$501,0),MATCH(P$2,'Réel 2024'!$A$2:$AO$2,0))</f>
        <v>28303.97</v>
      </c>
      <c r="Q181" s="186">
        <f t="array" ref="Q181">+INDEX('Réel 2024'!$A$2:$AO$501,MATCH($A181,'Réel 2024'!$A$2:$A$501,0),MATCH(Q$2,'Réel 2024'!$A$2:$AO$2,0))</f>
        <v>11603.56</v>
      </c>
      <c r="R181" s="298">
        <f>IF(O181=0,0,J181/O181)</f>
        <v>0.78294573643410847</v>
      </c>
      <c r="S181" s="204">
        <f>L181-Q181</f>
        <v>3387.17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0.72757713082597586</v>
      </c>
      <c r="M182" s="229">
        <f>J182-D182</f>
        <v>0</v>
      </c>
      <c r="N182" s="235"/>
      <c r="O182" s="233"/>
      <c r="P182" s="234"/>
      <c r="Q182" s="232">
        <f>IFERROR(Q181/P181,0)</f>
        <v>0.40996227737663654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219.41062015503877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-3623.3539183866296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-2018.56</v>
      </c>
      <c r="M184" s="233"/>
      <c r="N184" s="230">
        <f>L184-F184</f>
        <v>1604.7939183866297</v>
      </c>
      <c r="O184" s="229"/>
      <c r="P184" s="200"/>
      <c r="Q184" s="200">
        <f t="array" ref="Q184">+INDEX('Réel 2024'!$A$2:$AO$501,MATCH($A184,'Réel 2024'!$A$2:$A$501,0),MATCH(Q$2,'Réel 2024'!$A$2:$AO$2,0))</f>
        <v>-4926.28</v>
      </c>
      <c r="R184" s="212"/>
      <c r="S184" s="202">
        <f>L184-Q184</f>
        <v>2907.72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724.08220088703229</v>
      </c>
      <c r="E185" s="58">
        <f>E172+E175+E178+E181+E184</f>
        <v>183090.25880294805</v>
      </c>
      <c r="F185" s="59">
        <f>F172+F175+F178+F181+F184</f>
        <v>122618.17809228516</v>
      </c>
      <c r="G185" s="60"/>
      <c r="H185" s="58"/>
      <c r="I185" s="59"/>
      <c r="J185" s="60">
        <f>J172+J175+J178+J181+J184</f>
        <v>749</v>
      </c>
      <c r="K185" s="58">
        <f>K172+K175+K178+K181+K184</f>
        <v>202104.01999999996</v>
      </c>
      <c r="L185" s="59">
        <f>L172+L175+L178+L181+L184</f>
        <v>153447.49</v>
      </c>
      <c r="M185" s="61">
        <f>(K185-E185)/E185</f>
        <v>0.10384911420937788</v>
      </c>
      <c r="N185" s="59">
        <f>L185-F185</f>
        <v>30829.311907714829</v>
      </c>
      <c r="O185" s="60">
        <f t="shared" ref="O185:Q185" si="36">O172+O175+O178+O181+O184</f>
        <v>764</v>
      </c>
      <c r="P185" s="58">
        <f t="shared" si="36"/>
        <v>174470.77999999991</v>
      </c>
      <c r="Q185" s="59">
        <f t="shared" si="36"/>
        <v>109980.4</v>
      </c>
      <c r="R185" s="339">
        <f>IF(O185=0,0,J185/O185)</f>
        <v>0.98036649214659688</v>
      </c>
      <c r="S185" s="340">
        <f>L185-Q185</f>
        <v>43467.09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0.66971437417789481</v>
      </c>
      <c r="G186" s="64"/>
      <c r="H186" s="62"/>
      <c r="I186" s="239"/>
      <c r="J186" s="64"/>
      <c r="K186" s="65">
        <f>IF(J185=0,0,K185/J185)</f>
        <v>269.83180240320422</v>
      </c>
      <c r="L186" s="239">
        <f>IF(L185=0,0,L185/K185)</f>
        <v>0.75925006340794221</v>
      </c>
      <c r="M186" s="64"/>
      <c r="N186" s="63">
        <f>N185/F185</f>
        <v>0.25142529751593606</v>
      </c>
      <c r="O186" s="64"/>
      <c r="P186" s="65">
        <f>IF(O185=0,0,P185/O185)</f>
        <v>228.36489528795801</v>
      </c>
      <c r="Q186" s="239">
        <f>Q185/P185</f>
        <v>0.63036572657037504</v>
      </c>
      <c r="R186" s="64"/>
      <c r="S186" s="267">
        <f>IF(R185=0,0,S185/R185)</f>
        <v>44337.592469959942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5200.5727354800792</v>
      </c>
      <c r="F188" s="200">
        <f>+INDEX('Budget original'!$A$2:$AO$501,MATCH($A188,'Budget original'!$A$2:$A$501,0),MATCH(F$2,'Budget original'!$A$2:$AO$2,0))</f>
        <v>598.06586458020911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7292.78</v>
      </c>
      <c r="L188" s="185">
        <f>-SUMIFS(BV_Data_An_Cour!$O:$O,BV_Data_An_Cour!$U:$U,$B188,BV_Data_An_Cour!$V:$V,$C188,BV_Data_An_Cour!$W:$W,$L$2)</f>
        <v>1083.0500000000002</v>
      </c>
      <c r="M188" s="452">
        <f>IF(E188=0,0,(K188-E188)/E188)</f>
        <v>0.40230324061159067</v>
      </c>
      <c r="N188" s="230">
        <f>L188-F188</f>
        <v>484.98413541979107</v>
      </c>
      <c r="O188" s="229"/>
      <c r="P188" s="184">
        <f t="array" ref="P188">+INDEX('Réel 2024'!$A$2:$AO$501,MATCH($A188,'Réel 2024'!$A$2:$A$501,0),MATCH(P$2,'Réel 2024'!$A$2:$AO$2,0))</f>
        <v>2037.93</v>
      </c>
      <c r="Q188" s="185">
        <f t="array" ref="Q188">+INDEX('Réel 2024'!$A$2:$AO$501,MATCH($A188,'Réel 2024'!$A$2:$A$501,0),MATCH(Q$2,'Réel 2024'!$A$2:$AO$2,0))</f>
        <v>18.72</v>
      </c>
      <c r="R188" s="298">
        <f>IF(O188=0,0,J188/O188)</f>
        <v>0</v>
      </c>
      <c r="S188" s="202">
        <f>L188-Q188</f>
        <v>1064.3300000000002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</v>
      </c>
      <c r="G189" s="228"/>
      <c r="H189" s="231"/>
      <c r="I189" s="232"/>
      <c r="J189" s="233"/>
      <c r="K189" s="234"/>
      <c r="L189" s="232">
        <f>IF(L188=0,0,L188/K188)</f>
        <v>0.14850989608900861</v>
      </c>
      <c r="M189" s="233"/>
      <c r="N189" s="235"/>
      <c r="O189" s="233"/>
      <c r="P189" s="234"/>
      <c r="Q189" s="232">
        <f>IFERROR(Q188/P188,0)</f>
        <v>9.1857914648687637E-3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2024'!$A$2:$AO$501,MATCH($A191,'Réel 2024'!$A$2:$A$501,0),MATCH(P$2,'Réel 2024'!$A$2:$AO$2,0))</f>
        <v>0</v>
      </c>
      <c r="Q191" s="232">
        <f t="array" ref="Q191">+INDEX('Réel 2024'!$A$2:$AO$501,MATCH($A191,'Réel 2024'!$A$2:$A$501,0),MATCH(Q$2,'Réel 2024'!$A$2:$AO$2,0))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188290.83153842814</v>
      </c>
      <c r="F194" s="28">
        <f>F185+F188+F191</f>
        <v>123216.24395686536</v>
      </c>
      <c r="G194" s="29"/>
      <c r="H194" s="26"/>
      <c r="I194" s="28"/>
      <c r="J194" s="29"/>
      <c r="K194" s="26">
        <f>K185+K188+K191</f>
        <v>209396.79999999996</v>
      </c>
      <c r="L194" s="28">
        <f>L185+L188+L191</f>
        <v>154530.53999999998</v>
      </c>
      <c r="M194" s="70">
        <f>L195-F195</f>
        <v>8.3586250288424924E-2</v>
      </c>
      <c r="N194" s="28">
        <f>L194-F194</f>
        <v>31314.296043134615</v>
      </c>
      <c r="O194" s="29"/>
      <c r="P194" s="26">
        <f t="shared" ref="P194:Q194" si="37">P185+P188+P191</f>
        <v>176508.7099999999</v>
      </c>
      <c r="Q194" s="28">
        <f t="shared" si="37"/>
        <v>109999.12</v>
      </c>
      <c r="R194" s="70">
        <f>L195-Q195</f>
        <v>0.11478575018420556</v>
      </c>
      <c r="S194" s="326">
        <f>L194-Q194</f>
        <v>44531.419999999984</v>
      </c>
      <c r="T194" s="236"/>
      <c r="U194" s="25"/>
      <c r="V194" s="24" t="s">
        <v>2359</v>
      </c>
      <c r="W194" s="24">
        <v>157460</v>
      </c>
      <c r="X194" s="1195">
        <f>L194-W194</f>
        <v>-2929.460000000021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0.65439322217724794</v>
      </c>
      <c r="G195" s="31"/>
      <c r="H195" s="328"/>
      <c r="I195" s="34"/>
      <c r="J195" s="31"/>
      <c r="K195" s="328"/>
      <c r="L195" s="34">
        <f>L194/K194</f>
        <v>0.73797947246567286</v>
      </c>
      <c r="M195" s="33"/>
      <c r="N195" s="34">
        <f>N194/F194</f>
        <v>0.25414097230635346</v>
      </c>
      <c r="O195" s="31"/>
      <c r="P195" s="328"/>
      <c r="Q195" s="34">
        <f>Q194/P194</f>
        <v>0.6231937222814673</v>
      </c>
      <c r="R195" s="33"/>
      <c r="S195" s="264">
        <f>L194/S194</f>
        <v>3.4701462473013445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10405.606822870617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13099.41</v>
      </c>
      <c r="M198" s="228"/>
      <c r="N198" s="230">
        <f t="shared" ref="N198:N229" si="38">L198-F198</f>
        <v>2693.8031771293827</v>
      </c>
      <c r="O198" s="228"/>
      <c r="P198" s="183"/>
      <c r="Q198" s="185">
        <f t="array" ref="Q198">+INDEX('Réel 2024'!$A$2:$AO$501,MATCH($A198,'Réel 2024'!$A$2:$A$501,0),MATCH(Q$2,'Réel 2024'!$A$2:$AO$2,0))</f>
        <v>8159.54</v>
      </c>
      <c r="R198" s="228"/>
      <c r="S198" s="202">
        <f t="shared" ref="S198:S228" si="39">L198-Q198</f>
        <v>4939.87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5619.1369731800769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4760.12</v>
      </c>
      <c r="M199" s="228"/>
      <c r="N199" s="230">
        <f t="shared" si="38"/>
        <v>-859.016973180077</v>
      </c>
      <c r="O199" s="228"/>
      <c r="P199" s="183"/>
      <c r="Q199" s="185">
        <f t="array" ref="Q199">+INDEX('Réel 2024'!$A$2:$AO$501,MATCH($A199,'Réel 2024'!$A$2:$A$501,0),MATCH(Q$2,'Réel 2024'!$A$2:$AO$2,0))</f>
        <v>4621.95</v>
      </c>
      <c r="R199" s="228"/>
      <c r="S199" s="202">
        <f t="shared" si="39"/>
        <v>138.17000000000007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8247.5462888710681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11398.89</v>
      </c>
      <c r="M200" s="278"/>
      <c r="N200" s="279">
        <f t="shared" si="38"/>
        <v>3151.3437111289313</v>
      </c>
      <c r="O200" s="278"/>
      <c r="P200" s="276"/>
      <c r="Q200" s="186">
        <f t="array" ref="Q200">+INDEX('Réel 2024'!$A$2:$AO$501,MATCH($A200,'Réel 2024'!$A$2:$A$501,0),MATCH(Q$2,'Réel 2024'!$A$2:$AO$2,0))</f>
        <v>8534</v>
      </c>
      <c r="R200" s="278"/>
      <c r="S200" s="204">
        <f t="shared" si="39"/>
        <v>2864.8899999999994</v>
      </c>
      <c r="T200" s="25"/>
      <c r="U200" s="25"/>
      <c r="V200" s="791" t="s">
        <v>2967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14418.309888888889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16301.36</v>
      </c>
      <c r="M201" s="228"/>
      <c r="N201" s="230">
        <f t="shared" si="38"/>
        <v>1883.0501111111116</v>
      </c>
      <c r="O201" s="228"/>
      <c r="P201" s="183"/>
      <c r="Q201" s="185">
        <f t="array" ref="Q201">+INDEX('Réel 2024'!$A$2:$AO$501,MATCH($A201,'Réel 2024'!$A$2:$A$501,0),MATCH(Q$2,'Réel 2024'!$A$2:$AO$2,0))</f>
        <v>12116.41</v>
      </c>
      <c r="R201" s="228"/>
      <c r="S201" s="202">
        <f t="shared" si="39"/>
        <v>4184.9500000000007</v>
      </c>
      <c r="T201" s="25"/>
      <c r="U201" s="25"/>
      <c r="V201" s="25" t="s">
        <v>2986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2024'!$A$2:$AO$501,MATCH($A202,'Réel 2024'!$A$2:$A$501,0),MATCH(Q$2,'Réel 2024'!$A$2:$AO$2,0))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2024'!$A$2:$AO$501,MATCH($A203,'Réel 2024'!$A$2:$A$501,0),MATCH(Q$2,'Réel 2024'!$A$2:$AO$2,0))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2024'!$A$2:$AO$501,MATCH($A204,'Réel 2024'!$A$2:$A$501,0),MATCH(Q$2,'Réel 2024'!$A$2:$AO$2,0))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10919.001465817295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10475.219999999999</v>
      </c>
      <c r="M205" s="228"/>
      <c r="N205" s="230">
        <f t="shared" si="38"/>
        <v>-443.78146581729561</v>
      </c>
      <c r="O205" s="228"/>
      <c r="P205" s="183"/>
      <c r="Q205" s="185">
        <f t="array" ref="Q205">+INDEX('Réel 2024'!$A$2:$AO$501,MATCH($A205,'Réel 2024'!$A$2:$A$501,0),MATCH(Q$2,'Réel 2024'!$A$2:$AO$2,0))</f>
        <v>3656.35</v>
      </c>
      <c r="R205" s="228"/>
      <c r="S205" s="202">
        <f>L205-Q205</f>
        <v>6818.869999999999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12746.459256205348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15236.5</v>
      </c>
      <c r="M206" s="278"/>
      <c r="N206" s="279">
        <f t="shared" si="38"/>
        <v>2490.0407437946524</v>
      </c>
      <c r="O206" s="278"/>
      <c r="P206" s="276"/>
      <c r="Q206" s="186">
        <f t="array" ref="Q206">+INDEX('Réel 2024'!$A$2:$AO$501,MATCH($A206,'Réel 2024'!$A$2:$A$501,0),MATCH(Q$2,'Réel 2024'!$A$2:$AO$2,0))</f>
        <v>9937.5</v>
      </c>
      <c r="R206" s="278"/>
      <c r="S206" s="204">
        <f t="shared" si="39"/>
        <v>5299</v>
      </c>
      <c r="T206" s="25"/>
      <c r="U206" s="25"/>
      <c r="V206" s="791" t="s">
        <v>2967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6560.6775583409881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6154.09</v>
      </c>
      <c r="M207" s="228"/>
      <c r="N207" s="230">
        <f t="shared" si="38"/>
        <v>-406.58755834098793</v>
      </c>
      <c r="O207" s="228"/>
      <c r="P207" s="183"/>
      <c r="Q207" s="185">
        <f t="array" ref="Q207">+INDEX('Réel 2024'!$A$2:$AO$501,MATCH($A207,'Réel 2024'!$A$2:$A$501,0),MATCH(Q$2,'Réel 2024'!$A$2:$AO$2,0))</f>
        <v>4285.6000000000004</v>
      </c>
      <c r="R207" s="228"/>
      <c r="S207" s="202">
        <f t="shared" si="39"/>
        <v>1868.4899999999998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1405.8594767873542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2555.58</v>
      </c>
      <c r="M208" s="763"/>
      <c r="N208" s="199">
        <f t="shared" si="38"/>
        <v>1149.7205232126457</v>
      </c>
      <c r="O208" s="763"/>
      <c r="P208" s="764"/>
      <c r="Q208" s="182">
        <f t="array" ref="Q208">+INDEX('Réel 2024'!$A$2:$AO$501,MATCH($A208,'Réel 2024'!$A$2:$A$501,0),MATCH(Q$2,'Réel 2024'!$A$2:$AO$2,0))</f>
        <v>1263.33</v>
      </c>
      <c r="R208" s="763"/>
      <c r="S208" s="765">
        <f t="shared" si="39"/>
        <v>1292.25</v>
      </c>
      <c r="T208" s="25"/>
      <c r="U208" s="25"/>
      <c r="V208" s="25" t="s">
        <v>2967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2024'!$A$2:$AO$501,MATCH($A209,'Réel 2024'!$A$2:$A$501,0),MATCH(Q$2,'Réel 2024'!$A$2:$AO$2,0))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0.5707250559883944</v>
      </c>
      <c r="F210" s="41">
        <f>+SUM(F198:F209)</f>
        <v>70322.597730961643</v>
      </c>
      <c r="G210" s="42"/>
      <c r="H210" s="40"/>
      <c r="I210" s="41"/>
      <c r="J210" s="42" t="s">
        <v>162</v>
      </c>
      <c r="K210" s="40">
        <f>L210/L$194</f>
        <v>0.51757516669520476</v>
      </c>
      <c r="L210" s="41">
        <f>+SUM(L198:L209)</f>
        <v>79981.17</v>
      </c>
      <c r="M210" s="43"/>
      <c r="N210" s="46">
        <f t="shared" si="38"/>
        <v>9658.5722690383554</v>
      </c>
      <c r="O210" s="42" t="s">
        <v>162</v>
      </c>
      <c r="P210" s="40">
        <f>Q210/Q$194</f>
        <v>0.47795546000731637</v>
      </c>
      <c r="Q210" s="41">
        <f>+SUM(Q198:Q209)</f>
        <v>52574.679999999993</v>
      </c>
      <c r="R210" s="43"/>
      <c r="S210" s="286">
        <f t="shared" si="39"/>
        <v>27406.490000000005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6712.8869522272007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9394.91</v>
      </c>
      <c r="M211" s="228"/>
      <c r="N211" s="230">
        <f t="shared" si="38"/>
        <v>2682.0230477727991</v>
      </c>
      <c r="O211" s="228"/>
      <c r="P211" s="183"/>
      <c r="Q211" s="185">
        <f t="array" ref="Q211">+INDEX('Réel 2024'!$A$2:$AO$501,MATCH($A211,'Réel 2024'!$A$2:$A$501,0),MATCH(Q$2,'Réel 2024'!$A$2:$AO$2,0))</f>
        <v>7062.93</v>
      </c>
      <c r="R211" s="228"/>
      <c r="S211" s="202">
        <f t="shared" si="39"/>
        <v>2331.9799999999996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2758.3333333333335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3250.11</v>
      </c>
      <c r="M212" s="228"/>
      <c r="N212" s="230">
        <f t="shared" si="38"/>
        <v>491.77666666666664</v>
      </c>
      <c r="O212" s="228"/>
      <c r="P212" s="183"/>
      <c r="Q212" s="185">
        <f t="array" ref="Q212">+INDEX('Réel 2024'!$A$2:$AO$501,MATCH($A212,'Réel 2024'!$A$2:$A$501,0),MATCH(Q$2,'Réel 2024'!$A$2:$AO$2,0))</f>
        <v>2513.5</v>
      </c>
      <c r="R212" s="228"/>
      <c r="S212" s="202">
        <f t="shared" si="39"/>
        <v>736.61000000000013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6592.8333333333339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6132.1500000000015</v>
      </c>
      <c r="M213" s="283"/>
      <c r="N213" s="284">
        <f t="shared" si="38"/>
        <v>-460.68333333333248</v>
      </c>
      <c r="O213" s="283"/>
      <c r="P213" s="281"/>
      <c r="Q213" s="185">
        <f t="array" ref="Q213">+INDEX('Réel 2024'!$A$2:$AO$501,MATCH($A213,'Réel 2024'!$A$2:$A$501,0),MATCH(Q$2,'Réel 2024'!$A$2:$AO$2,0))</f>
        <v>4922.0499999999902</v>
      </c>
      <c r="R213" s="283"/>
      <c r="S213" s="205">
        <f t="shared" si="39"/>
        <v>1210.1000000000113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6033.5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5978.7</v>
      </c>
      <c r="M214" s="228"/>
      <c r="N214" s="230">
        <f t="shared" si="38"/>
        <v>-54.800000000000182</v>
      </c>
      <c r="O214" s="228"/>
      <c r="P214" s="183"/>
      <c r="Q214" s="186">
        <f t="array" ref="Q214">+INDEX('Réel 2024'!$A$2:$AO$501,MATCH($A214,'Réel 2024'!$A$2:$A$501,0),MATCH(Q$2,'Réel 2024'!$A$2:$AO$2,0))</f>
        <v>5548.89</v>
      </c>
      <c r="R214" s="228"/>
      <c r="S214" s="202">
        <f t="shared" si="39"/>
        <v>429.80999999999949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458.33333333333331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846.92</v>
      </c>
      <c r="M215" s="228"/>
      <c r="N215" s="230">
        <f t="shared" si="38"/>
        <v>388.58666666666664</v>
      </c>
      <c r="O215" s="228"/>
      <c r="P215" s="183"/>
      <c r="Q215" s="185">
        <f t="array" ref="Q215">+INDEX('Réel 2024'!$A$2:$AO$501,MATCH($A215,'Réel 2024'!$A$2:$A$501,0),MATCH(Q$2,'Réel 2024'!$A$2:$AO$2,0))</f>
        <v>885.31</v>
      </c>
      <c r="R215" s="228"/>
      <c r="S215" s="202">
        <f t="shared" si="39"/>
        <v>-38.389999999999986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5641.5</v>
      </c>
      <c r="G216" s="282"/>
      <c r="H216" s="281"/>
      <c r="I216" s="182"/>
      <c r="J216" s="283"/>
      <c r="K216" s="281"/>
      <c r="L216" s="182">
        <f>SUMIFS(BV_Data_An_Cour!$O:$O,BV_Data_An_Cour!$U:$U,$B216,BV_Data_An_Cour!$V:$V,$C216,BV_Data_An_Cour!$W:$W,$L$2)</f>
        <v>2555.9899999999998</v>
      </c>
      <c r="M216" s="763"/>
      <c r="N216" s="199">
        <f t="shared" si="38"/>
        <v>-3085.51</v>
      </c>
      <c r="O216" s="763"/>
      <c r="P216" s="764"/>
      <c r="Q216" s="182">
        <f t="array" ref="Q216">+INDEX('Réel 2024'!$A$2:$AO$501,MATCH($A216,'Réel 2024'!$A$2:$A$501,0),MATCH(Q$2,'Réel 2024'!$A$2:$AO$2,0))</f>
        <v>5229</v>
      </c>
      <c r="R216" s="283"/>
      <c r="S216" s="205">
        <f t="shared" si="39"/>
        <v>-2673.01</v>
      </c>
      <c r="T216" s="183"/>
      <c r="U216" s="25"/>
      <c r="V216" s="791" t="s">
        <v>2988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5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5">
        <f t="array" ref="Q217">+INDEX('Réel 2024'!$A$2:$AO$501,MATCH($A217,'Réel 2024'!$A$2:$A$501,0),MATCH(Q$2,'Réel 2024'!$A$2:$AO$2,0))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1100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2310.04</v>
      </c>
      <c r="M218" s="228"/>
      <c r="N218" s="230">
        <f t="shared" si="38"/>
        <v>1210.04</v>
      </c>
      <c r="O218" s="228"/>
      <c r="P218" s="183"/>
      <c r="Q218" s="185">
        <f t="array" ref="Q218">+INDEX('Réel 2024'!$A$2:$AO$501,MATCH($A218,'Réel 2024'!$A$2:$A$501,0),MATCH(Q$2,'Réel 2024'!$A$2:$AO$2,0))</f>
        <v>-28.96</v>
      </c>
      <c r="R218" s="228"/>
      <c r="S218" s="202">
        <f t="shared" si="39"/>
        <v>2339</v>
      </c>
      <c r="T218" s="183"/>
      <c r="U218" s="25"/>
      <c r="V218" s="791" t="s">
        <v>2989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1000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1706.96</v>
      </c>
      <c r="M219" s="228"/>
      <c r="N219" s="230">
        <f t="shared" si="38"/>
        <v>706.96</v>
      </c>
      <c r="O219" s="228"/>
      <c r="P219" s="183"/>
      <c r="Q219" s="185">
        <f t="array" ref="Q219">+INDEX('Réel 2024'!$A$2:$AO$501,MATCH($A219,'Réel 2024'!$A$2:$A$501,0),MATCH(Q$2,'Réel 2024'!$A$2:$AO$2,0))</f>
        <v>1182</v>
      </c>
      <c r="R219" s="228"/>
      <c r="S219" s="202">
        <f t="shared" si="39"/>
        <v>524.96</v>
      </c>
      <c r="T219" s="183"/>
      <c r="U219" s="25"/>
      <c r="V219" s="25" t="s">
        <v>2990</v>
      </c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548.49</v>
      </c>
      <c r="M220" s="228"/>
      <c r="N220" s="230">
        <f t="shared" si="38"/>
        <v>154.74</v>
      </c>
      <c r="O220" s="228"/>
      <c r="P220" s="183"/>
      <c r="Q220" s="478">
        <f t="array" ref="Q220">+INDEX('Réel 2024'!$A$2:$AO$501,MATCH($A220,'Réel 2024'!$A$2:$A$501,0),MATCH(Q$2,'Réel 2024'!$A$2:$AO$2,0))</f>
        <v>464.49</v>
      </c>
      <c r="R220" s="228"/>
      <c r="S220" s="202">
        <f t="shared" si="39"/>
        <v>84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120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114.1</v>
      </c>
      <c r="M221" s="228"/>
      <c r="N221" s="230">
        <f t="shared" si="38"/>
        <v>-5.9000000000000057</v>
      </c>
      <c r="O221" s="228"/>
      <c r="P221" s="183"/>
      <c r="Q221" s="185">
        <f t="array" ref="Q221">+INDEX('Réel 2024'!$A$2:$AO$501,MATCH($A221,'Réel 2024'!$A$2:$A$501,0),MATCH(Q$2,'Réel 2024'!$A$2:$AO$2,0))</f>
        <v>114.27</v>
      </c>
      <c r="R221" s="228"/>
      <c r="S221" s="202">
        <f t="shared" si="39"/>
        <v>-0.17000000000000171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170.36</v>
      </c>
      <c r="M222" s="228"/>
      <c r="N222" s="230">
        <f t="shared" si="38"/>
        <v>57.860000000000014</v>
      </c>
      <c r="O222" s="228"/>
      <c r="P222" s="183"/>
      <c r="Q222" s="185">
        <f t="array" ref="Q222">+INDEX('Réel 2024'!$A$2:$AO$501,MATCH($A222,'Réel 2024'!$A$2:$A$501,0),MATCH(Q$2,'Réel 2024'!$A$2:$AO$2,0))</f>
        <v>158.36000000000001</v>
      </c>
      <c r="R222" s="228"/>
      <c r="S222" s="202">
        <f t="shared" si="39"/>
        <v>12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435.25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379</v>
      </c>
      <c r="M223" s="228"/>
      <c r="N223" s="230">
        <f t="shared" si="38"/>
        <v>-56.25</v>
      </c>
      <c r="O223" s="228"/>
      <c r="P223" s="183"/>
      <c r="Q223" s="185">
        <f t="array" ref="Q223">+INDEX('Réel 2024'!$A$2:$AO$501,MATCH($A223,'Réel 2024'!$A$2:$A$501,0),MATCH(Q$2,'Réel 2024'!$A$2:$AO$2,0))</f>
        <v>416.49</v>
      </c>
      <c r="R223" s="228"/>
      <c r="S223" s="202">
        <f t="shared" si="39"/>
        <v>-37.490000000000009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1643.7152833333334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1632.11</v>
      </c>
      <c r="M224" s="228"/>
      <c r="N224" s="230">
        <f t="shared" si="38"/>
        <v>-11.605283333333546</v>
      </c>
      <c r="O224" s="228"/>
      <c r="P224" s="183"/>
      <c r="Q224" s="185">
        <f t="array" ref="Q224">+INDEX('Réel 2024'!$A$2:$AO$501,MATCH($A224,'Réel 2024'!$A$2:$A$501,0),MATCH(Q$2,'Réel 2024'!$A$2:$AO$2,0))</f>
        <v>147.12</v>
      </c>
      <c r="R224" s="228"/>
      <c r="S224" s="202">
        <f t="shared" si="39"/>
        <v>1484.9899999999998</v>
      </c>
      <c r="T224" s="25"/>
      <c r="U224" s="25"/>
      <c r="V224" s="791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2268.5539150202549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2486.62</v>
      </c>
      <c r="M225" s="228"/>
      <c r="N225" s="230">
        <f t="shared" si="38"/>
        <v>218.06608497974503</v>
      </c>
      <c r="O225" s="228"/>
      <c r="P225" s="183"/>
      <c r="Q225" s="185">
        <f t="array" ref="Q225">+INDEX('Réel 2024'!$A$2:$AO$501,MATCH($A225,'Réel 2024'!$A$2:$A$501,0),MATCH(Q$2,'Réel 2024'!$A$2:$AO$2,0))</f>
        <v>2194.0300000000002</v>
      </c>
      <c r="R225" s="228"/>
      <c r="S225" s="202">
        <f t="shared" si="39"/>
        <v>292.58999999999969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2024'!$A$2:$AO$501,MATCH($A226,'Réel 2024'!$A$2:$A$501,0),MATCH(Q$2,'Réel 2024'!$A$2:$AO$2,0))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2024'!$A$2:$AO$501,MATCH($A227,'Réel 2024'!$A$2:$A$501,0),MATCH(Q$2,'Réel 2024'!$A$2:$AO$2,0))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2024'!$A$2:$AO$501,MATCH($A228,'Réel 2024'!$A$2:$A$501,0),MATCH(Q$2,'Réel 2024'!$A$2:$AO$2,0))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0.28625410918164534</v>
      </c>
      <c r="F229" s="41">
        <f>+SUM(F211:F228)</f>
        <v>35271.156150580784</v>
      </c>
      <c r="G229" s="42"/>
      <c r="H229" s="40"/>
      <c r="I229" s="41"/>
      <c r="J229" s="42" t="s">
        <v>162</v>
      </c>
      <c r="K229" s="40">
        <f>L229/L$194</f>
        <v>0.2427122819864605</v>
      </c>
      <c r="L229" s="41">
        <f>+SUM(L211:L228)</f>
        <v>37506.460000000006</v>
      </c>
      <c r="M229" s="44"/>
      <c r="N229" s="41">
        <f t="shared" si="38"/>
        <v>2235.3038494192224</v>
      </c>
      <c r="O229" s="42" t="s">
        <v>162</v>
      </c>
      <c r="P229" s="40">
        <f>Q229/Q$194</f>
        <v>0.28008842252556199</v>
      </c>
      <c r="Q229" s="41">
        <f>+SUM(Q211:Q228)</f>
        <v>30809.479999999996</v>
      </c>
      <c r="R229" s="44"/>
      <c r="S229" s="290">
        <f>L229-Q229</f>
        <v>6696.9800000000105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0.85697916517003958</v>
      </c>
      <c r="F231" s="41">
        <f>F210+F229</f>
        <v>105593.75388154242</v>
      </c>
      <c r="G231" s="42"/>
      <c r="H231" s="40"/>
      <c r="I231" s="41"/>
      <c r="J231" s="42" t="s">
        <v>108</v>
      </c>
      <c r="K231" s="40">
        <f>L231/L$194</f>
        <v>0.76028744868166531</v>
      </c>
      <c r="L231" s="41">
        <f>L210+L229</f>
        <v>117487.63</v>
      </c>
      <c r="M231" s="44"/>
      <c r="N231" s="46">
        <f>L231-F231</f>
        <v>11893.876118457585</v>
      </c>
      <c r="O231" s="42" t="s">
        <v>108</v>
      </c>
      <c r="P231" s="40">
        <f>Q231/Q$194</f>
        <v>0.75804388253287835</v>
      </c>
      <c r="Q231" s="41">
        <f>Q210+Q229</f>
        <v>83384.159999999989</v>
      </c>
      <c r="R231" s="44"/>
      <c r="S231" s="286">
        <f>L231-Q231</f>
        <v>34103.470000000016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17622.490075322945</v>
      </c>
      <c r="G233" s="312"/>
      <c r="H233" s="310"/>
      <c r="I233" s="311"/>
      <c r="J233" s="313"/>
      <c r="K233" s="314"/>
      <c r="L233" s="311">
        <f>L194-L231</f>
        <v>37042.909999999974</v>
      </c>
      <c r="M233" s="313"/>
      <c r="N233" s="311">
        <f>L233-F233</f>
        <v>19420.419924677029</v>
      </c>
      <c r="O233" s="313"/>
      <c r="P233" s="314"/>
      <c r="Q233" s="311">
        <f>Q194-Q231</f>
        <v>26614.960000000006</v>
      </c>
      <c r="R233" s="313"/>
      <c r="S233" s="315">
        <f>L233-Q233</f>
        <v>10427.949999999968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Avril 2025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39" t="s">
        <v>77</v>
      </c>
      <c r="E238" s="1240"/>
      <c r="F238" s="1241"/>
      <c r="G238" s="1244"/>
      <c r="H238" s="1240"/>
      <c r="I238" s="1241"/>
      <c r="J238" s="1244" t="s">
        <v>78</v>
      </c>
      <c r="K238" s="1240"/>
      <c r="L238" s="1241"/>
      <c r="M238" s="1244" t="s">
        <v>2443</v>
      </c>
      <c r="N238" s="1241"/>
      <c r="O238" s="1239" t="s">
        <v>79</v>
      </c>
      <c r="P238" s="1240"/>
      <c r="Q238" s="1241"/>
      <c r="R238" s="1242" t="s">
        <v>2447</v>
      </c>
      <c r="S238" s="1243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0</v>
      </c>
      <c r="F241" s="200">
        <f>+INDEX('Budget original'!$A$2:$AO$501,MATCH($A241,'Budget original'!$A$2:$A$501,0),MATCH(F$2,'Budget original'!$A$2:$AO$2,0))</f>
        <v>0</v>
      </c>
      <c r="G241" s="316"/>
      <c r="H241" s="200"/>
      <c r="I241" s="200"/>
      <c r="J241" s="229">
        <f>-SUMIFS(BV_Data_An_Cour!$O:$O,BV_Data_An_Cour!$U:$U,$B241,BV_Data_An_Cour!$V:$V,$C241,BV_Data_An_Cour!$W:$W,J$2)</f>
        <v>0</v>
      </c>
      <c r="K241" s="184">
        <f>-SUMIFS(BV_Data_An_Cour!$O:$O,BV_Data_An_Cour!$X:$X,"Oui",BV_Data_An_Cour!$U:$U,$B241,BV_Data_An_Cour!$V:$V,$C241)</f>
        <v>0</v>
      </c>
      <c r="L241" s="185">
        <f>-SUMIFS(BV_Data_An_Cour!$O:$O,BV_Data_An_Cour!$U:$U,$B241,BV_Data_An_Cour!$V:$V,$C241,BV_Data_An_Cour!$W:$W,$L$2)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>
        <f t="array" ref="O241">+INDEX('Réel 2024'!$A$2:$AO$501,MATCH($A241,'Réel 2024'!$A$2:$A$501,0),MATCH(O$2,'Réel 2024'!$A$2:$AO$2,0))</f>
        <v>1</v>
      </c>
      <c r="P241" s="184">
        <f t="array" ref="P241">+INDEX('Réel 2024'!$A$2:$AO$501,MATCH($A241,'Réel 2024'!$A$2:$A$501,0),MATCH(P$2,'Réel 2024'!$A$2:$AO$2,0))</f>
        <v>349.28</v>
      </c>
      <c r="Q241" s="185">
        <f t="array" ref="Q241">+INDEX('Réel 2024'!$A$2:$AO$501,MATCH($A241,'Réel 2024'!$A$2:$A$501,0),MATCH(Q$2,'Réel 2024'!$A$2:$AO$2,0))</f>
        <v>33.75</v>
      </c>
      <c r="R241" s="298">
        <f>IF(O241=0,0,J241/O241)</f>
        <v>0</v>
      </c>
      <c r="S241" s="202">
        <f>L241-Q241</f>
        <v>-33.75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9.6627347686669723E-2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2024'!$A$2:$AO$501,MATCH($A244,'Réel 2024'!$A$2:$A$501,0),MATCH(O$2,'Réel 2024'!$A$2:$AO$2,0))</f>
        <v>0</v>
      </c>
      <c r="P244" s="191">
        <f t="array" ref="P244">+INDEX('Réel 2024'!$A$2:$AO$501,MATCH($A244,'Réel 2024'!$A$2:$A$501,0),MATCH(P$2,'Réel 2024'!$A$2:$AO$2,0))</f>
        <v>0</v>
      </c>
      <c r="Q244" s="186">
        <f t="array" ref="Q244">+INDEX('Réel 2024'!$A$2:$AO$501,MATCH($A244,'Réel 2024'!$A$2:$A$501,0),MATCH(Q$2,'Réel 2024'!$A$2:$AO$2,0))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1">P244+P247+P241</f>
        <v>349.28</v>
      </c>
      <c r="Q250" s="28">
        <f t="shared" si="41"/>
        <v>33.75</v>
      </c>
      <c r="R250" s="70">
        <f>L251-Q251</f>
        <v>-9.6627347686669723E-2</v>
      </c>
      <c r="S250" s="326">
        <f>L250-Q250</f>
        <v>-33.75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9.6627347686669723E-2</v>
      </c>
      <c r="R251" s="33"/>
      <c r="S251" s="264">
        <f>IF(R250=0,0,S250/R250)</f>
        <v>349.28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0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0</v>
      </c>
      <c r="M254" s="228"/>
      <c r="N254" s="230">
        <f t="shared" ref="N254:N284" si="42">L254-F254</f>
        <v>0</v>
      </c>
      <c r="O254" s="228"/>
      <c r="P254" s="183"/>
      <c r="Q254" s="185">
        <f t="array" ref="Q254">+INDEX('Réel 2024'!$A$2:$AO$501,MATCH($A254,'Réel 2024'!$A$2:$A$501,0),MATCH(Q$2,'Réel 2024'!$A$2:$AO$2,0))</f>
        <v>304.27</v>
      </c>
      <c r="R254" s="228"/>
      <c r="S254" s="202">
        <f t="shared" ref="S254:S265" si="43"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0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0</v>
      </c>
      <c r="M255" s="228"/>
      <c r="N255" s="230">
        <f t="shared" si="42"/>
        <v>0</v>
      </c>
      <c r="O255" s="228"/>
      <c r="P255" s="183"/>
      <c r="Q255" s="185">
        <f t="array" ref="Q255">+INDEX('Réel 2024'!$A$2:$AO$501,MATCH($A255,'Réel 2024'!$A$2:$A$501,0),MATCH(Q$2,'Réel 2024'!$A$2:$AO$2,0))</f>
        <v>301.39</v>
      </c>
      <c r="R255" s="228"/>
      <c r="S255" s="202">
        <f>L255-Q255</f>
        <v>-301.39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0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0</v>
      </c>
      <c r="M256" s="278"/>
      <c r="N256" s="279">
        <f t="shared" si="42"/>
        <v>0</v>
      </c>
      <c r="O256" s="278"/>
      <c r="P256" s="276"/>
      <c r="Q256" s="186">
        <f t="array" ref="Q256">+INDEX('Réel 2024'!$A$2:$AO$501,MATCH($A256,'Réel 2024'!$A$2:$A$501,0),MATCH(Q$2,'Réel 2024'!$A$2:$AO$2,0))</f>
        <v>19</v>
      </c>
      <c r="R256" s="278"/>
      <c r="S256" s="204">
        <f t="shared" si="43"/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2024'!$A$2:$AO$501,MATCH($A257,'Réel 2024'!$A$2:$A$501,0),MATCH(Q$2,'Réel 2024'!$A$2:$AO$2,0))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2024'!$A$2:$AO$501,MATCH($A258,'Réel 2024'!$A$2:$A$501,0),MATCH(Q$2,'Réel 2024'!$A$2:$AO$2,0))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2024'!$A$2:$AO$501,MATCH($A259,'Réel 2024'!$A$2:$A$501,0),MATCH(Q$2,'Réel 2024'!$A$2:$AO$2,0))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2024'!$A$2:$AO$501,MATCH($A260,'Réel 2024'!$A$2:$A$501,0),MATCH(Q$2,'Réel 2024'!$A$2:$AO$2,0))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0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0</v>
      </c>
      <c r="M261" s="228"/>
      <c r="N261" s="230">
        <f t="shared" si="42"/>
        <v>0</v>
      </c>
      <c r="O261" s="228"/>
      <c r="P261" s="183"/>
      <c r="Q261" s="185">
        <f t="array" ref="Q261">+INDEX('Réel 2024'!$A$2:$AO$501,MATCH($A261,'Réel 2024'!$A$2:$A$501,0),MATCH(Q$2,'Réel 2024'!$A$2:$AO$2,0))</f>
        <v>55.04</v>
      </c>
      <c r="R261" s="228"/>
      <c r="S261" s="202">
        <f t="shared" si="43"/>
        <v>-55.04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0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0</v>
      </c>
      <c r="M262" s="278"/>
      <c r="N262" s="279">
        <f t="shared" si="42"/>
        <v>0</v>
      </c>
      <c r="O262" s="278"/>
      <c r="P262" s="276"/>
      <c r="Q262" s="186">
        <f t="array" ref="Q262">+INDEX('Réel 2024'!$A$2:$AO$501,MATCH($A262,'Réel 2024'!$A$2:$A$501,0),MATCH(Q$2,'Réel 2024'!$A$2:$AO$2,0))</f>
        <v>219</v>
      </c>
      <c r="R262" s="278"/>
      <c r="S262" s="204">
        <f t="shared" si="43"/>
        <v>-219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0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0</v>
      </c>
      <c r="M263" s="228"/>
      <c r="N263" s="230">
        <f t="shared" si="42"/>
        <v>0</v>
      </c>
      <c r="O263" s="228"/>
      <c r="P263" s="183"/>
      <c r="Q263" s="185">
        <f t="array" ref="Q263">+INDEX('Réel 2024'!$A$2:$AO$501,MATCH($A263,'Réel 2024'!$A$2:$A$501,0),MATCH(Q$2,'Réel 2024'!$A$2:$AO$2,0))</f>
        <v>48.02</v>
      </c>
      <c r="R263" s="228"/>
      <c r="S263" s="202">
        <f t="shared" si="43"/>
        <v>-48.02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0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0</v>
      </c>
      <c r="M264" s="763"/>
      <c r="N264" s="199">
        <f t="shared" si="42"/>
        <v>0</v>
      </c>
      <c r="O264" s="228"/>
      <c r="P264" s="183"/>
      <c r="Q264" s="185">
        <f t="array" ref="Q264">+INDEX('Réel 2024'!$A$2:$AO$501,MATCH($A264,'Réel 2024'!$A$2:$A$501,0),MATCH(Q$2,'Réel 2024'!$A$2:$AO$2,0))</f>
        <v>14.46</v>
      </c>
      <c r="R264" s="228"/>
      <c r="S264" s="202">
        <f t="shared" si="43"/>
        <v>-14.46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2"/>
        <v>0</v>
      </c>
      <c r="O266" s="42" t="s">
        <v>108</v>
      </c>
      <c r="P266" s="40">
        <f>IF(Q244=0,0,Q266/Q$244)</f>
        <v>0</v>
      </c>
      <c r="Q266" s="41">
        <f>+SUM(Q254:Q265)</f>
        <v>961.18</v>
      </c>
      <c r="R266" s="43"/>
      <c r="S266" s="286">
        <f t="shared" ref="S266:S284" si="44">L266-Q266</f>
        <v>-961.18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2024'!$A$2:$AO$501,MATCH($A267,'Réel 2024'!$A$2:$A$501,0),MATCH(Q$2,'Réel 2024'!$A$2:$AO$2,0))</f>
        <v>12.5</v>
      </c>
      <c r="R267" s="228"/>
      <c r="S267" s="202">
        <f t="shared" si="44"/>
        <v>-12.5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2024'!$A$2:$AO$501,MATCH($A268,'Réel 2024'!$A$2:$A$501,0),MATCH(Q$2,'Réel 2024'!$A$2:$AO$2,0))</f>
        <v>35.700000000000003</v>
      </c>
      <c r="R268" s="228"/>
      <c r="S268" s="202">
        <f t="shared" si="44"/>
        <v>-35.700000000000003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0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0</v>
      </c>
      <c r="M269" s="283"/>
      <c r="N269" s="284">
        <f t="shared" si="42"/>
        <v>0</v>
      </c>
      <c r="O269" s="283"/>
      <c r="P269" s="281"/>
      <c r="Q269" s="185">
        <f t="array" ref="Q269">+INDEX('Réel 2024'!$A$2:$AO$501,MATCH($A269,'Réel 2024'!$A$2:$A$501,0),MATCH(Q$2,'Réel 2024'!$A$2:$AO$2,0))</f>
        <v>144.5</v>
      </c>
      <c r="R269" s="283"/>
      <c r="S269" s="205">
        <f t="shared" si="44"/>
        <v>-144.5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0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0</v>
      </c>
      <c r="M270" s="228"/>
      <c r="N270" s="230">
        <f t="shared" si="42"/>
        <v>0</v>
      </c>
      <c r="O270" s="228"/>
      <c r="P270" s="183"/>
      <c r="Q270" s="186">
        <f t="array" ref="Q270">+INDEX('Réel 2024'!$A$2:$AO$501,MATCH($A270,'Réel 2024'!$A$2:$A$501,0),MATCH(Q$2,'Réel 2024'!$A$2:$AO$2,0))</f>
        <v>216.24</v>
      </c>
      <c r="R270" s="228"/>
      <c r="S270" s="202">
        <f t="shared" si="44"/>
        <v>-216.24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0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0</v>
      </c>
      <c r="M271" s="228"/>
      <c r="N271" s="230">
        <f t="shared" si="42"/>
        <v>0</v>
      </c>
      <c r="O271" s="228"/>
      <c r="P271" s="183"/>
      <c r="Q271" s="185">
        <f t="array" ref="Q271">+INDEX('Réel 2024'!$A$2:$AO$501,MATCH($A271,'Réel 2024'!$A$2:$A$501,0),MATCH(Q$2,'Réel 2024'!$A$2:$AO$2,0))</f>
        <v>71.25</v>
      </c>
      <c r="R271" s="228"/>
      <c r="S271" s="202">
        <f t="shared" si="44"/>
        <v>-71.25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0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0</v>
      </c>
      <c r="M272" s="283"/>
      <c r="N272" s="284">
        <f t="shared" si="42"/>
        <v>0</v>
      </c>
      <c r="O272" s="283"/>
      <c r="P272" s="281"/>
      <c r="Q272" s="182">
        <f t="array" ref="Q272">+INDEX('Réel 2024'!$A$2:$AO$501,MATCH($A272,'Réel 2024'!$A$2:$A$501,0),MATCH(Q$2,'Réel 2024'!$A$2:$AO$2,0))</f>
        <v>155.81</v>
      </c>
      <c r="R272" s="283"/>
      <c r="S272" s="205">
        <f t="shared" si="44"/>
        <v>-155.81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2024'!$A$2:$AO$501,MATCH($A273,'Réel 2024'!$A$2:$A$501,0),MATCH(Q$2,'Réel 2024'!$A$2:$AO$2,0))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0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0</v>
      </c>
      <c r="O274" s="228"/>
      <c r="P274" s="183"/>
      <c r="Q274" s="185">
        <f t="array" ref="Q274">+INDEX('Réel 2024'!$A$2:$AO$501,MATCH($A274,'Réel 2024'!$A$2:$A$501,0),MATCH(Q$2,'Réel 2024'!$A$2:$AO$2,0))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2024'!$A$2:$AO$501,MATCH($A275,'Réel 2024'!$A$2:$A$501,0),MATCH(Q$2,'Réel 2024'!$A$2:$AO$2,0))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0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0</v>
      </c>
      <c r="M276" s="228"/>
      <c r="N276" s="230">
        <f t="shared" si="42"/>
        <v>0</v>
      </c>
      <c r="O276" s="228"/>
      <c r="P276" s="183"/>
      <c r="Q276" s="478">
        <f t="array" ref="Q276">+INDEX('Réel 2024'!$A$2:$AO$501,MATCH($A276,'Réel 2024'!$A$2:$A$501,0),MATCH(Q$2,'Réel 2024'!$A$2:$AO$2,0))</f>
        <v>22.98</v>
      </c>
      <c r="R276" s="228"/>
      <c r="S276" s="202">
        <f t="shared" si="44"/>
        <v>-22.98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0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0</v>
      </c>
      <c r="M277" s="228"/>
      <c r="N277" s="230">
        <f t="shared" si="42"/>
        <v>0</v>
      </c>
      <c r="O277" s="228"/>
      <c r="P277" s="183"/>
      <c r="Q277" s="185">
        <f t="array" ref="Q277">+INDEX('Réel 2024'!$A$2:$AO$501,MATCH($A277,'Réel 2024'!$A$2:$A$501,0),MATCH(Q$2,'Réel 2024'!$A$2:$AO$2,0))</f>
        <v>9.42</v>
      </c>
      <c r="R277" s="228"/>
      <c r="S277" s="202">
        <f t="shared" si="44"/>
        <v>-9.42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0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</v>
      </c>
      <c r="M278" s="228"/>
      <c r="N278" s="230">
        <f t="shared" si="42"/>
        <v>0</v>
      </c>
      <c r="O278" s="228"/>
      <c r="P278" s="183"/>
      <c r="Q278" s="185">
        <f t="array" ref="Q278">+INDEX('Réel 2024'!$A$2:$AO$501,MATCH($A278,'Réel 2024'!$A$2:$A$501,0),MATCH(Q$2,'Réel 2024'!$A$2:$AO$2,0))</f>
        <v>8.26</v>
      </c>
      <c r="R278" s="228"/>
      <c r="S278" s="202">
        <f t="shared" si="44"/>
        <v>-8.26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0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0</v>
      </c>
      <c r="M279" s="228"/>
      <c r="N279" s="230">
        <f t="shared" si="42"/>
        <v>0</v>
      </c>
      <c r="O279" s="228"/>
      <c r="P279" s="183"/>
      <c r="Q279" s="185">
        <f t="array" ref="Q279">+INDEX('Réel 2024'!$A$2:$AO$501,MATCH($A279,'Réel 2024'!$A$2:$A$501,0),MATCH(Q$2,'Réel 2024'!$A$2:$AO$2,0))</f>
        <v>46.26</v>
      </c>
      <c r="R279" s="228"/>
      <c r="S279" s="202">
        <f t="shared" si="44"/>
        <v>-46.26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0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0</v>
      </c>
      <c r="M280" s="228"/>
      <c r="N280" s="230">
        <f t="shared" si="42"/>
        <v>0</v>
      </c>
      <c r="O280" s="228"/>
      <c r="P280" s="183"/>
      <c r="Q280" s="185">
        <f t="array" ref="Q280">+INDEX('Réel 2024'!$A$2:$AO$501,MATCH($A280,'Réel 2024'!$A$2:$A$501,0),MATCH(Q$2,'Réel 2024'!$A$2:$AO$2,0))</f>
        <v>16.350000000000001</v>
      </c>
      <c r="R280" s="228"/>
      <c r="S280" s="202">
        <f t="shared" si="44"/>
        <v>-16.350000000000001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0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0</v>
      </c>
      <c r="M281" s="228"/>
      <c r="N281" s="230">
        <f t="shared" si="42"/>
        <v>0</v>
      </c>
      <c r="O281" s="228"/>
      <c r="P281" s="183"/>
      <c r="Q281" s="185">
        <f t="array" ref="Q281">+INDEX('Réel 2024'!$A$2:$AO$501,MATCH($A281,'Réel 2024'!$A$2:$A$501,0),MATCH(Q$2,'Réel 2024'!$A$2:$AO$2,0))</f>
        <v>243.76</v>
      </c>
      <c r="R281" s="228"/>
      <c r="S281" s="202">
        <f t="shared" si="44"/>
        <v>-243.76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2024'!$A$2:$AO$501,MATCH($A282,'Réel 2024'!$A$2:$A$501,0),MATCH(Q$2,'Réel 2024'!$A$2:$AO$2,0))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2024'!$A$2:$AO$501,MATCH($A283,'Réel 2024'!$A$2:$A$501,0),MATCH(Q$2,'Réel 2024'!$A$2:$AO$2,0))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2024'!$A$2:$AO$501,MATCH($A284,'Réel 2024'!$A$2:$A$501,0),MATCH(Q$2,'Réel 2024'!$A$2:$AO$2,0))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983.03</v>
      </c>
      <c r="R285" s="44"/>
      <c r="S285" s="290">
        <f>L285-Q285</f>
        <v>-983.03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1944.21</v>
      </c>
      <c r="R287" s="44"/>
      <c r="S287" s="286">
        <f>L287-Q287</f>
        <v>-1944.21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-1910.46</v>
      </c>
      <c r="R289" s="313"/>
      <c r="S289" s="315">
        <f>L289-Q289</f>
        <v>1910.46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Avril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39" t="s">
        <v>77</v>
      </c>
      <c r="E293" s="1240"/>
      <c r="F293" s="1241"/>
      <c r="G293" s="1244"/>
      <c r="H293" s="1240"/>
      <c r="I293" s="1241"/>
      <c r="J293" s="1244" t="s">
        <v>78</v>
      </c>
      <c r="K293" s="1240"/>
      <c r="L293" s="1241"/>
      <c r="M293" s="1244" t="s">
        <v>2443</v>
      </c>
      <c r="N293" s="1241"/>
      <c r="O293" s="1239" t="s">
        <v>79</v>
      </c>
      <c r="P293" s="1240"/>
      <c r="Q293" s="1241"/>
      <c r="R293" s="1242" t="s">
        <v>2447</v>
      </c>
      <c r="S293" s="124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52833.577086390134</v>
      </c>
      <c r="E295" s="213">
        <f>IF(D295=0,0,F295/D295)</f>
        <v>0.41</v>
      </c>
      <c r="F295" s="202">
        <f>+INDEX('Budget original'!$A$2:$AO$501,MATCH($A295,'Budget original'!$A$2:$A$501,0),MATCH(F$2,'Budget original'!$A$2:$AO$2,0))</f>
        <v>21661.766605419954</v>
      </c>
      <c r="G295" s="200"/>
      <c r="H295" s="213"/>
      <c r="I295" s="202"/>
      <c r="J295" s="184">
        <f>-SUMIFS(BV_Data_An_Cour!$O:$O,BV_Data_An_Cour!$X:$X,"Oui",BV_Data_An_Cour!$U:$U,$B295,BV_Data_An_Cour!$V:$V,$C295)</f>
        <v>64717.729999999996</v>
      </c>
      <c r="K295" s="213">
        <f t="shared" ref="K295:K300" si="46">IF(J295&lt;=0,0,L295/J295)</f>
        <v>0.37632114105361852</v>
      </c>
      <c r="L295" s="185">
        <f>-SUMIFS(BV_Data_An_Cour!$O:$O,BV_Data_An_Cour!$U:$U,$B295,BV_Data_An_Cour!$V:$V,$C295,BV_Data_An_Cour!$W:$W,$L$2)</f>
        <v>24354.649999999998</v>
      </c>
      <c r="M295" s="298">
        <f t="shared" ref="M295:M301" si="47">(+J295-D295)/D295</f>
        <v>0.22493561043912744</v>
      </c>
      <c r="N295" s="230">
        <f t="shared" ref="N295:N304" si="48">L295-F295</f>
        <v>2692.8833945800434</v>
      </c>
      <c r="O295" s="184">
        <f t="array" ref="O295">+INDEX('Réel 2024'!$A$2:$AO$501,MATCH($A295,'Réel 2024'!$A$2:$A$501,0),MATCH(O$2,'Réel 2024'!$A$2:$AO$2,0))</f>
        <v>49147.909999999902</v>
      </c>
      <c r="P295" s="213">
        <f t="shared" ref="P295:P303" si="49">IF(O295=0,0,Q295/O295)</f>
        <v>0.37536977665988114</v>
      </c>
      <c r="Q295" s="185">
        <f t="array" ref="Q295">+INDEX('Réel 2024'!$A$2:$AO$501,MATCH($A295,'Réel 2024'!$A$2:$A$501,0),MATCH(Q$2,'Réel 2024'!$A$2:$AO$2,0))</f>
        <v>18448.639999999901</v>
      </c>
      <c r="R295" s="298">
        <f>IF(O295=0,0,(J295-O295)/O295)</f>
        <v>0.31679515975348954</v>
      </c>
      <c r="S295" s="202">
        <f t="shared" ref="S295:S300" si="50">L295-Q295</f>
        <v>5906.0100000000966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0</v>
      </c>
      <c r="E296" s="213">
        <f t="shared" ref="E296:E303" si="51">IF(D296=0,0,F296/D296)</f>
        <v>0</v>
      </c>
      <c r="F296" s="202">
        <f>+INDEX('Budget original'!$A$2:$AO$501,MATCH($A296,'Budget original'!$A$2:$A$501,0),MATCH(F$2,'Budget original'!$A$2:$AO$2,0))</f>
        <v>0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 t="e">
        <f t="shared" si="47"/>
        <v>#DIV/0!</v>
      </c>
      <c r="N296" s="230">
        <f t="shared" si="48"/>
        <v>0</v>
      </c>
      <c r="O296" s="184">
        <f t="array" ref="O296">+INDEX('Réel 2024'!$A$2:$AO$501,MATCH($A296,'Réel 2024'!$A$2:$A$501,0),MATCH(O$2,'Réel 2024'!$A$2:$AO$2,0))</f>
        <v>106.86</v>
      </c>
      <c r="P296" s="213">
        <f t="shared" si="49"/>
        <v>0.30001871607711028</v>
      </c>
      <c r="Q296" s="185">
        <f t="array" ref="Q296">+INDEX('Réel 2024'!$A$2:$AO$501,MATCH($A296,'Réel 2024'!$A$2:$A$501,0),MATCH(Q$2,'Réel 2024'!$A$2:$AO$2,0))</f>
        <v>32.06</v>
      </c>
      <c r="R296" s="298">
        <f t="shared" ref="R296:R303" si="52">IF(O296=0,0,(J296-O296)/O296)</f>
        <v>-1</v>
      </c>
      <c r="S296" s="202">
        <f t="shared" si="50"/>
        <v>-32.06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46238.697338689264</v>
      </c>
      <c r="E297" s="213">
        <f t="shared" si="51"/>
        <v>0.28499999999999998</v>
      </c>
      <c r="F297" s="202">
        <f>+INDEX('Budget original'!$A$2:$AO$501,MATCH($A297,'Budget original'!$A$2:$A$501,0),MATCH(F$2,'Budget original'!$A$2:$AO$2,0))</f>
        <v>13178.028741526439</v>
      </c>
      <c r="G297" s="200"/>
      <c r="H297" s="213"/>
      <c r="I297" s="202"/>
      <c r="J297" s="184">
        <f>-SUMIFS(BV_Data_An_Cour!$O:$O,BV_Data_An_Cour!$X:$X,"Oui",BV_Data_An_Cour!$U:$U,$B297,BV_Data_An_Cour!$V:$V,$C297)</f>
        <v>56399.720000000008</v>
      </c>
      <c r="K297" s="213">
        <f t="shared" si="46"/>
        <v>0.27891503716685129</v>
      </c>
      <c r="L297" s="185">
        <f>-SUMIFS(BV_Data_An_Cour!$O:$O,BV_Data_An_Cour!$U:$U,$B297,BV_Data_An_Cour!$V:$V,$C297,BV_Data_An_Cour!$W:$W,$L$2)</f>
        <v>15730.730000000009</v>
      </c>
      <c r="M297" s="298">
        <f t="shared" si="47"/>
        <v>0.2197514905509399</v>
      </c>
      <c r="N297" s="230">
        <f t="shared" si="48"/>
        <v>2552.7012584735694</v>
      </c>
      <c r="O297" s="184">
        <f t="array" ref="O297">+INDEX('Réel 2024'!$A$2:$AO$501,MATCH($A297,'Réel 2024'!$A$2:$A$501,0),MATCH(O$2,'Réel 2024'!$A$2:$AO$2,0))</f>
        <v>37284.379999999997</v>
      </c>
      <c r="P297" s="213">
        <f t="shared" si="49"/>
        <v>0.28654492846601981</v>
      </c>
      <c r="Q297" s="185">
        <f t="array" ref="Q297">+INDEX('Réel 2024'!$A$2:$AO$501,MATCH($A297,'Réel 2024'!$A$2:$A$501,0),MATCH(Q$2,'Réel 2024'!$A$2:$AO$2,0))</f>
        <v>10683.6499999999</v>
      </c>
      <c r="R297" s="298">
        <f t="shared" si="52"/>
        <v>0.51269030087130352</v>
      </c>
      <c r="S297" s="202">
        <f t="shared" si="50"/>
        <v>5047.0800000001091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18851.520787682755</v>
      </c>
      <c r="E298" s="213">
        <f t="shared" si="51"/>
        <v>0.35</v>
      </c>
      <c r="F298" s="202">
        <f>+INDEX('Budget original'!$A$2:$AO$501,MATCH($A298,'Budget original'!$A$2:$A$501,0),MATCH(F$2,'Budget original'!$A$2:$AO$2,0))</f>
        <v>6598.0322756889636</v>
      </c>
      <c r="G298" s="200"/>
      <c r="H298" s="213"/>
      <c r="I298" s="202"/>
      <c r="J298" s="184">
        <f>-SUMIFS(BV_Data_An_Cour!$O:$O,BV_Data_An_Cour!$X:$X,"Oui",BV_Data_An_Cour!$U:$U,$B298,BV_Data_An_Cour!$V:$V,$C298)</f>
        <v>20132.62</v>
      </c>
      <c r="K298" s="213">
        <f t="shared" si="46"/>
        <v>0.35222986377331905</v>
      </c>
      <c r="L298" s="185">
        <f>-SUMIFS(BV_Data_An_Cour!$O:$O,BV_Data_An_Cour!$U:$U,$B298,BV_Data_An_Cour!$V:$V,$C298,BV_Data_An_Cour!$W:$W,$L$2)</f>
        <v>7091.3099999999986</v>
      </c>
      <c r="M298" s="298">
        <f t="shared" si="47"/>
        <v>6.7957340245689404E-2</v>
      </c>
      <c r="N298" s="230">
        <f t="shared" si="48"/>
        <v>493.27772431103494</v>
      </c>
      <c r="O298" s="184">
        <f t="array" ref="O298">+INDEX('Réel 2024'!$A$2:$AO$501,MATCH($A298,'Réel 2024'!$A$2:$A$501,0),MATCH(O$2,'Réel 2024'!$A$2:$AO$2,0))</f>
        <v>18887.43</v>
      </c>
      <c r="P298" s="213">
        <f t="shared" si="49"/>
        <v>0.31382141455984214</v>
      </c>
      <c r="Q298" s="185">
        <f t="array" ref="Q298">+INDEX('Réel 2024'!$A$2:$AO$501,MATCH($A298,'Réel 2024'!$A$2:$A$501,0),MATCH(Q$2,'Réel 2024'!$A$2:$AO$2,0))</f>
        <v>5927.28</v>
      </c>
      <c r="R298" s="298">
        <f t="shared" si="52"/>
        <v>6.5926915414113968E-2</v>
      </c>
      <c r="S298" s="202">
        <f t="shared" si="50"/>
        <v>1164.0299999999988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25639.426519790683</v>
      </c>
      <c r="E299" s="213">
        <f t="shared" si="51"/>
        <v>0.3</v>
      </c>
      <c r="F299" s="202">
        <f>+INDEX('Budget original'!$A$2:$AO$501,MATCH($A299,'Budget original'!$A$2:$A$501,0),MATCH(F$2,'Budget original'!$A$2:$AO$2,0))</f>
        <v>7691.827955937204</v>
      </c>
      <c r="G299" s="200"/>
      <c r="H299" s="213"/>
      <c r="I299" s="202"/>
      <c r="J299" s="184">
        <f>-SUMIFS(BV_Data_An_Cour!$O:$O,BV_Data_An_Cour!$X:$X,"Oui",BV_Data_An_Cour!$U:$U,$B299,BV_Data_An_Cour!$V:$V,$C299)</f>
        <v>17037.740000000002</v>
      </c>
      <c r="K299" s="213">
        <f t="shared" si="46"/>
        <v>0.28554139222690339</v>
      </c>
      <c r="L299" s="185">
        <f>-SUMIFS(BV_Data_An_Cour!$O:$O,BV_Data_An_Cour!$U:$U,$B299,BV_Data_An_Cour!$V:$V,$C299,BV_Data_An_Cour!$W:$W,$L$2)</f>
        <v>4864.9800000000014</v>
      </c>
      <c r="M299" s="298">
        <f t="shared" si="47"/>
        <v>-0.3354866971439931</v>
      </c>
      <c r="N299" s="230">
        <f t="shared" si="48"/>
        <v>-2826.8479559372026</v>
      </c>
      <c r="O299" s="184">
        <f t="array" ref="O299">+INDEX('Réel 2024'!$A$2:$AO$501,MATCH($A299,'Réel 2024'!$A$2:$A$501,0),MATCH(O$2,'Réel 2024'!$A$2:$AO$2,0))</f>
        <v>27401.949999999899</v>
      </c>
      <c r="P299" s="213">
        <f t="shared" si="49"/>
        <v>0.20045982129009104</v>
      </c>
      <c r="Q299" s="185">
        <f t="array" ref="Q299">+INDEX('Réel 2024'!$A$2:$AO$501,MATCH($A299,'Réel 2024'!$A$2:$A$501,0),MATCH(Q$2,'Réel 2024'!$A$2:$AO$2,0))</f>
        <v>5492.9899999999898</v>
      </c>
      <c r="R299" s="298">
        <f t="shared" si="52"/>
        <v>-0.37822892166433175</v>
      </c>
      <c r="S299" s="202">
        <f t="shared" si="50"/>
        <v>-628.00999999998839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38846.442240444754</v>
      </c>
      <c r="E300" s="213">
        <f t="shared" si="51"/>
        <v>0.2</v>
      </c>
      <c r="F300" s="202">
        <f>+INDEX('Budget original'!$A$2:$AO$501,MATCH($A300,'Budget original'!$A$2:$A$501,0),MATCH(F$2,'Budget original'!$A$2:$AO$2,0))</f>
        <v>7769.2884480889516</v>
      </c>
      <c r="G300" s="200"/>
      <c r="H300" s="213"/>
      <c r="I300" s="202"/>
      <c r="J300" s="184">
        <f>-SUMIFS(BV_Data_An_Cour!$O:$O,BV_Data_An_Cour!$X:$X,"Oui",BV_Data_An_Cour!$U:$U,$B300,BV_Data_An_Cour!$V:$V,$C300)</f>
        <v>72740.67</v>
      </c>
      <c r="K300" s="213">
        <f t="shared" si="46"/>
        <v>0.19281758059143528</v>
      </c>
      <c r="L300" s="185">
        <f>-SUMIFS(BV_Data_An_Cour!$O:$O,BV_Data_An_Cour!$U:$U,$B300,BV_Data_An_Cour!$V:$V,$C300,BV_Data_An_Cour!$W:$W,$L$2)</f>
        <v>14025.679999999998</v>
      </c>
      <c r="M300" s="298">
        <f t="shared" si="47"/>
        <v>0.87251819741336467</v>
      </c>
      <c r="N300" s="230">
        <f t="shared" si="48"/>
        <v>6256.3915519110469</v>
      </c>
      <c r="O300" s="184">
        <f t="array" ref="O300">+INDEX('Réel 2024'!$A$2:$AO$501,MATCH($A300,'Réel 2024'!$A$2:$A$501,0),MATCH(O$2,'Réel 2024'!$A$2:$AO$2,0))</f>
        <v>50271.28</v>
      </c>
      <c r="P300" s="213">
        <f t="shared" si="49"/>
        <v>0.20057157884183374</v>
      </c>
      <c r="Q300" s="185">
        <f t="array" ref="Q300">+INDEX('Réel 2024'!$A$2:$AO$501,MATCH($A300,'Réel 2024'!$A$2:$A$501,0),MATCH(Q$2,'Réel 2024'!$A$2:$AO$2,0))</f>
        <v>10082.9899999999</v>
      </c>
      <c r="R300" s="298">
        <f t="shared" si="52"/>
        <v>0.44696275885555331</v>
      </c>
      <c r="S300" s="202">
        <f t="shared" si="50"/>
        <v>3942.6900000000987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2024'!$A$2:$AO$501,MATCH($A301,'Réel 2024'!$A$2:$A$501,0),MATCH(O$2,'Réel 2024'!$A$2:$AO$2,0))</f>
        <v>0</v>
      </c>
      <c r="P301" s="213">
        <f t="shared" si="49"/>
        <v>0</v>
      </c>
      <c r="Q301" s="185">
        <f t="array" ref="Q301">+INDEX('Réel 2024'!$A$2:$AO$501,MATCH($A301,'Réel 2024'!$A$2:$A$501,0),MATCH(Q$2,'Réel 2024'!$A$2:$AO$2,0))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4772.0470732692775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20142.95</v>
      </c>
      <c r="M302" s="298"/>
      <c r="N302" s="230">
        <f t="shared" si="48"/>
        <v>15370.902926730723</v>
      </c>
      <c r="O302" s="184">
        <f t="array" ref="O302">+INDEX('Réel 2024'!$A$2:$AO$501,MATCH($A302,'Réel 2024'!$A$2:$A$501,0),MATCH(O$2,'Réel 2024'!$A$2:$AO$2,0))</f>
        <v>0</v>
      </c>
      <c r="P302" s="213">
        <f t="shared" si="49"/>
        <v>0</v>
      </c>
      <c r="Q302" s="185">
        <f t="array" ref="Q302">+INDEX('Réel 2024'!$A$2:$AO$501,MATCH($A302,'Réel 2024'!$A$2:$A$501,0),MATCH(Q$2,'Réel 2024'!$A$2:$AO$2,0))</f>
        <v>1524.55</v>
      </c>
      <c r="R302" s="298">
        <f t="shared" si="52"/>
        <v>0</v>
      </c>
      <c r="S302" s="202">
        <f>L302-Q302</f>
        <v>18618.400000000001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2024'!$A$2:$AO$501,MATCH($A303,'Réel 2024'!$A$2:$A$501,0),MATCH(O$2,'Réel 2024'!$A$2:$AO$2,0))</f>
        <v>0</v>
      </c>
      <c r="P303" s="213">
        <f t="shared" si="49"/>
        <v>0</v>
      </c>
      <c r="Q303" s="185">
        <f t="array" ref="Q303">+INDEX('Réel 2024'!$A$2:$AO$501,MATCH($A303,'Réel 2024'!$A$2:$A$501,0),MATCH(Q$2,'Réel 2024'!$A$2:$AO$2,0))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182409.66397299763</v>
      </c>
      <c r="E304" s="300">
        <f>IF(D304&lt;=0,0,F304/D304)</f>
        <v>0.33809059101748051</v>
      </c>
      <c r="F304" s="203">
        <f>SUM(F295:F303)</f>
        <v>61670.99109993079</v>
      </c>
      <c r="G304" s="201"/>
      <c r="H304" s="300"/>
      <c r="I304" s="203"/>
      <c r="J304" s="201">
        <f>SUM(J295:J303)</f>
        <v>231028.47999999998</v>
      </c>
      <c r="K304" s="300">
        <f>IF(J304&lt;=0,0,L304/J304)</f>
        <v>0.37315875514568597</v>
      </c>
      <c r="L304" s="226">
        <f>SUM(L295:L303)</f>
        <v>86210.3</v>
      </c>
      <c r="M304" s="301">
        <f>(+J304-D304)/D304</f>
        <v>0.26653640474991208</v>
      </c>
      <c r="N304" s="226">
        <f t="shared" si="48"/>
        <v>24539.308900069213</v>
      </c>
      <c r="O304" s="201">
        <f>SUM(O295:O303)</f>
        <v>183099.80999999979</v>
      </c>
      <c r="P304" s="300">
        <f>IF(O304&lt;=0,0,Q304/O304)</f>
        <v>0.28504759234867449</v>
      </c>
      <c r="Q304" s="226">
        <f t="shared" ref="Q304" si="53">SUM(Q295:Q303)</f>
        <v>52192.159999999698</v>
      </c>
      <c r="R304" s="301">
        <f>IF(O304=0,0,(J304-O304)/O304)</f>
        <v>0.26176253268640881</v>
      </c>
      <c r="S304" s="203">
        <f>L304-Q304</f>
        <v>34018.140000000305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0.39790683532726218</v>
      </c>
      <c r="O305" s="228"/>
      <c r="P305" s="183"/>
      <c r="Q305" s="270"/>
      <c r="R305" s="228"/>
      <c r="S305" s="267">
        <f>IF(Q304=0,0,S304/Q304)</f>
        <v>0.65178639857021636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88486.639182204992</v>
      </c>
      <c r="E307" s="213">
        <f>IF(D307=0,0,F307/D307)</f>
        <v>0.24</v>
      </c>
      <c r="F307" s="204">
        <f>+INDEX('Budget original'!$A$2:$AO$501,MATCH($A307,'Budget original'!$A$2:$A$501,0),MATCH(F$2,'Budget original'!$A$2:$AO$2,0))</f>
        <v>21236.793403729196</v>
      </c>
      <c r="G307" s="200"/>
      <c r="H307" s="213"/>
      <c r="I307" s="204"/>
      <c r="J307" s="184">
        <f>-SUMIFS(BV_Data_An_Cour!$O:$O,BV_Data_An_Cour!$X:$X,"Oui",BV_Data_An_Cour!$U:$U,$B307,BV_Data_An_Cour!$V:$V,$C307)</f>
        <v>123870.27</v>
      </c>
      <c r="K307" s="213">
        <f>IF(J307&lt;=0,0,L307/J307)</f>
        <v>0.23530569522452807</v>
      </c>
      <c r="L307" s="185">
        <f>-SUMIFS(BV_Data_An_Cour!$O:$O,BV_Data_An_Cour!$U:$U,$B307,BV_Data_An_Cour!$V:$V,$C307,BV_Data_An_Cour!$W:$W,$L$2)</f>
        <v>29147.380000000005</v>
      </c>
      <c r="M307" s="298">
        <f>(+J307-D307)/D307</f>
        <v>0.3998754065564149</v>
      </c>
      <c r="N307" s="230">
        <f>L307-F307</f>
        <v>7910.5865962708085</v>
      </c>
      <c r="O307" s="184">
        <f t="array" ref="O307">+INDEX('Réel 2024'!$A$2:$AO$501,MATCH($A307,'Réel 2024'!$A$2:$A$501,0),MATCH(O$2,'Réel 2024'!$A$2:$AO$2,0))</f>
        <v>112823.72</v>
      </c>
      <c r="P307" s="213">
        <f t="shared" ref="P307:P308" si="54">IF(O307=0,0,Q307/O307)</f>
        <v>0.23824653184631742</v>
      </c>
      <c r="Q307" s="185">
        <f t="array" ref="Q307">+INDEX('Réel 2024'!$A$2:$AO$501,MATCH($A307,'Réel 2024'!$A$2:$A$501,0),MATCH(Q$2,'Réel 2024'!$A$2:$AO$2,0))</f>
        <v>26879.86</v>
      </c>
      <c r="R307" s="298">
        <f>IF(O307=0,0,(J307-O307)/O307)</f>
        <v>9.7909818963600945E-2</v>
      </c>
      <c r="S307" s="202">
        <f>L307-Q307</f>
        <v>2267.5200000000041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11295.663199201983</v>
      </c>
      <c r="E308" s="213">
        <f>IF(D308=0,0,F308/D308)</f>
        <v>0.34399999999999997</v>
      </c>
      <c r="F308" s="205">
        <f>+INDEX('Budget original'!$A$2:$AO$501,MATCH($A308,'Budget original'!$A$2:$A$501,0),MATCH(F$2,'Budget original'!$A$2:$AO$2,0))</f>
        <v>3885.7081405254817</v>
      </c>
      <c r="G308" s="200"/>
      <c r="H308" s="213"/>
      <c r="I308" s="205"/>
      <c r="J308" s="184">
        <f>-SUMIFS(BV_Data_An_Cour!$O:$O,BV_Data_An_Cour!$X:$X,"Oui",BV_Data_An_Cour!$U:$U,$B308,BV_Data_An_Cour!$V:$V,$C308)</f>
        <v>12727.68</v>
      </c>
      <c r="K308" s="213">
        <f>IF(J308&lt;=0,0,L308/J308)</f>
        <v>0.37178338864584909</v>
      </c>
      <c r="L308" s="185">
        <f>-SUMIFS(BV_Data_An_Cour!$O:$O,BV_Data_An_Cour!$U:$U,$B308,BV_Data_An_Cour!$V:$V,$C308,BV_Data_An_Cour!$W:$W,$L$2)</f>
        <v>4731.9400000000005</v>
      </c>
      <c r="M308" s="298">
        <f>(+J308-D308)/D308</f>
        <v>0.12677580550553125</v>
      </c>
      <c r="N308" s="230">
        <f>L308-F308</f>
        <v>846.23185947451884</v>
      </c>
      <c r="O308" s="184">
        <f t="array" ref="O308">+INDEX('Réel 2024'!$A$2:$AO$501,MATCH($A308,'Réel 2024'!$A$2:$A$501,0),MATCH(O$2,'Réel 2024'!$A$2:$AO$2,0))</f>
        <v>11968.93</v>
      </c>
      <c r="P308" s="213">
        <f t="shared" si="54"/>
        <v>0.34924341607812892</v>
      </c>
      <c r="Q308" s="185">
        <f t="array" ref="Q308">+INDEX('Réel 2024'!$A$2:$AO$501,MATCH($A308,'Réel 2024'!$A$2:$A$501,0),MATCH(Q$2,'Réel 2024'!$A$2:$AO$2,0))</f>
        <v>4180.07</v>
      </c>
      <c r="R308" s="298">
        <f>IF(O308=0,0,(J308-O308)/O308)</f>
        <v>6.3393302492369824E-2</v>
      </c>
      <c r="S308" s="202">
        <f>L308-Q308</f>
        <v>551.8700000000008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282191.96635440463</v>
      </c>
      <c r="E309" s="300">
        <f>IF(D309&lt;=0,0,F309/D309)</f>
        <v>0.30756897074518985</v>
      </c>
      <c r="F309" s="226">
        <f>F304+F307+F308</f>
        <v>86793.492644185477</v>
      </c>
      <c r="G309" s="227"/>
      <c r="H309" s="300"/>
      <c r="I309" s="226"/>
      <c r="J309" s="227">
        <f>J304+J307+J308</f>
        <v>367626.43</v>
      </c>
      <c r="K309" s="300">
        <f>IF(J309&lt;=0,0,L309/J309)</f>
        <v>0.32666209554084569</v>
      </c>
      <c r="L309" s="226">
        <f>L304+L307+L308</f>
        <v>120089.62000000001</v>
      </c>
      <c r="M309" s="301">
        <f>(+J309-D309)/D309</f>
        <v>0.30275299736314354</v>
      </c>
      <c r="N309" s="226">
        <f>L309-F309</f>
        <v>33296.127355814533</v>
      </c>
      <c r="O309" s="227">
        <f>O304+O307+O308</f>
        <v>307892.45999999979</v>
      </c>
      <c r="P309" s="300">
        <f>IF(O309&lt;=0,0,Q309/O309)</f>
        <v>0.27039340294335157</v>
      </c>
      <c r="Q309" s="226">
        <f t="shared" ref="Q309" si="55">Q304+Q307+Q308</f>
        <v>83252.089999999705</v>
      </c>
      <c r="R309" s="301">
        <f>IF(O309=0,0,(J309-O309)/O309)</f>
        <v>0.19400920048513123</v>
      </c>
      <c r="S309" s="203">
        <f>L309-Q309</f>
        <v>36837.530000000304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0.38362469744493138</v>
      </c>
      <c r="O310" s="228"/>
      <c r="P310" s="183"/>
      <c r="Q310" s="270"/>
      <c r="R310" s="228"/>
      <c r="S310" s="267">
        <f>IF(Q309=0,0,S309/Q309)</f>
        <v>0.44248174430216025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2024'!$A$2:$AO$501,MATCH($A312,'Réel 2024'!$A$2:$A$501,0),MATCH(O$2,'Réel 2024'!$A$2:$AO$2,0))</f>
        <v>0</v>
      </c>
      <c r="P312" s="306">
        <f>IF(O312=0,0,Q312/O312)</f>
        <v>0</v>
      </c>
      <c r="Q312" s="182">
        <f t="array" ref="Q312">+INDEX('Réel 2024'!$A$2:$AO$501,MATCH($A312,'Réel 2024'!$A$2:$A$501,0),MATCH(Q$2,'Réel 2024'!$A$2:$AO$2,0))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282191.96635440463</v>
      </c>
      <c r="E314" s="71">
        <f>IF(D314&lt;=0,0,F314/D314)</f>
        <v>0.30756897074518985</v>
      </c>
      <c r="F314" s="28">
        <f>F309+F312</f>
        <v>86793.492644185477</v>
      </c>
      <c r="G314" s="29"/>
      <c r="H314" s="71"/>
      <c r="I314" s="28"/>
      <c r="J314" s="29">
        <f>J309+J312</f>
        <v>367626.43</v>
      </c>
      <c r="K314" s="71">
        <f>IF(J314&lt;=0,0,L314/J314)</f>
        <v>0.32666209554084569</v>
      </c>
      <c r="L314" s="28">
        <f>L309+L312</f>
        <v>120089.62000000001</v>
      </c>
      <c r="M314" s="72">
        <f>(+J314-D314)/D314</f>
        <v>0.30275299736314354</v>
      </c>
      <c r="N314" s="73">
        <f>L314-F314</f>
        <v>33296.127355814533</v>
      </c>
      <c r="O314" s="29">
        <f>O309+O312</f>
        <v>307892.45999999979</v>
      </c>
      <c r="P314" s="71">
        <f>IF(O314&lt;=0,0,Q314/O314)</f>
        <v>0.27039340294335157</v>
      </c>
      <c r="Q314" s="28">
        <f t="shared" ref="Q314" si="56">Q309+Q312</f>
        <v>83252.089999999705</v>
      </c>
      <c r="R314" s="72">
        <f>IF(O314=0,0,(J314-O314)/O314)</f>
        <v>0.19400920048513123</v>
      </c>
      <c r="S314" s="262">
        <f>L314-Q314</f>
        <v>36837.530000000304</v>
      </c>
      <c r="T314" s="25"/>
      <c r="U314" s="25"/>
      <c r="V314" s="24" t="s">
        <v>2359</v>
      </c>
      <c r="W314" s="24">
        <v>111797</v>
      </c>
      <c r="X314" s="1195">
        <f>L314-W314</f>
        <v>8292.6200000000099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0.38362469744493138</v>
      </c>
      <c r="O315" s="77"/>
      <c r="P315" s="75"/>
      <c r="Q315" s="76"/>
      <c r="R315" s="78"/>
      <c r="S315" s="264">
        <f>IF(Q314=0,0,S314/Q314)</f>
        <v>0.44248174430216025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4274.9142057176541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3271.86</v>
      </c>
      <c r="M318" s="228"/>
      <c r="N318" s="230">
        <f t="shared" ref="N318:N348" si="57">L318-F318</f>
        <v>-1003.054205717654</v>
      </c>
      <c r="O318" s="228"/>
      <c r="P318" s="183"/>
      <c r="Q318" s="185">
        <f t="array" ref="Q318">+INDEX('Réel 2024'!$A$2:$AO$501,MATCH($A318,'Réel 2024'!$A$2:$A$501,0),MATCH(Q$2,'Réel 2024'!$A$2:$AO$2,0))</f>
        <v>3659.46</v>
      </c>
      <c r="R318" s="228"/>
      <c r="S318" s="202">
        <f t="shared" ref="S318:S343" si="58">L318-Q318</f>
        <v>-387.59999999999991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2836.5762452107283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2682.61</v>
      </c>
      <c r="M319" s="228"/>
      <c r="N319" s="230">
        <f t="shared" si="57"/>
        <v>-153.96624521072818</v>
      </c>
      <c r="O319" s="228"/>
      <c r="P319" s="183"/>
      <c r="Q319" s="185">
        <f t="array" ref="Q319">+INDEX('Réel 2024'!$A$2:$AO$501,MATCH($A319,'Réel 2024'!$A$2:$A$501,0),MATCH(Q$2,'Réel 2024'!$A$2:$AO$2,0))</f>
        <v>2411.1999999999998</v>
      </c>
      <c r="R319" s="228"/>
      <c r="S319" s="202">
        <f t="shared" si="58"/>
        <v>271.41000000000031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13715.474406130268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14705.29</v>
      </c>
      <c r="M320" s="278"/>
      <c r="N320" s="279">
        <f t="shared" si="57"/>
        <v>989.81559386973277</v>
      </c>
      <c r="O320" s="278"/>
      <c r="P320" s="276"/>
      <c r="Q320" s="186">
        <f t="array" ref="Q320">+INDEX('Réel 2024'!$A$2:$AO$501,MATCH($A320,'Réel 2024'!$A$2:$A$501,0),MATCH(Q$2,'Réel 2024'!$A$2:$AO$2,0))</f>
        <v>14885.99</v>
      </c>
      <c r="R320" s="278"/>
      <c r="S320" s="204">
        <f t="shared" si="58"/>
        <v>-180.69999999999891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2024'!$A$2:$AO$501,MATCH($A321,'Réel 2024'!$A$2:$A$501,0),MATCH(Q$2,'Réel 2024'!$A$2:$AO$2,0))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2024'!$A$2:$AO$501,MATCH($A322,'Réel 2024'!$A$2:$A$501,0),MATCH(Q$2,'Réel 2024'!$A$2:$AO$2,0))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2024'!$A$2:$AO$501,MATCH($A323,'Réel 2024'!$A$2:$A$501,0),MATCH(Q$2,'Réel 2024'!$A$2:$AO$2,0))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2024'!$A$2:$AO$501,MATCH($A324,'Réel 2024'!$A$2:$A$501,0),MATCH(Q$2,'Réel 2024'!$A$2:$AO$2,0))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2759.054272306129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2762.84</v>
      </c>
      <c r="M325" s="228"/>
      <c r="N325" s="230">
        <f t="shared" si="57"/>
        <v>3.7857276938711948</v>
      </c>
      <c r="O325" s="228"/>
      <c r="P325" s="183"/>
      <c r="Q325" s="185">
        <f t="array" ref="Q325">+INDEX('Réel 2024'!$A$2:$AO$501,MATCH($A325,'Réel 2024'!$A$2:$A$501,0),MATCH(Q$2,'Réel 2024'!$A$2:$AO$2,0))</f>
        <v>1471.97</v>
      </c>
      <c r="R325" s="228"/>
      <c r="S325" s="202">
        <f t="shared" si="58"/>
        <v>1290.8700000000001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3220.8231657176543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3493.23</v>
      </c>
      <c r="M326" s="278"/>
      <c r="N326" s="279">
        <f t="shared" si="57"/>
        <v>272.4068342823457</v>
      </c>
      <c r="O326" s="278"/>
      <c r="P326" s="276"/>
      <c r="Q326" s="186">
        <f t="array" ref="Q326">+INDEX('Réel 2024'!$A$2:$AO$501,MATCH($A326,'Réel 2024'!$A$2:$A$501,0),MATCH(Q$2,'Réel 2024'!$A$2:$AO$2,0))</f>
        <v>3611.05</v>
      </c>
      <c r="R326" s="278"/>
      <c r="S326" s="204">
        <f t="shared" si="58"/>
        <v>-117.82000000000016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1657.7766294134985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1800.74</v>
      </c>
      <c r="M327" s="228"/>
      <c r="N327" s="230">
        <f t="shared" si="57"/>
        <v>142.96337058650147</v>
      </c>
      <c r="O327" s="228"/>
      <c r="P327" s="183"/>
      <c r="Q327" s="185">
        <f t="array" ref="Q327">+INDEX('Réel 2024'!$A$2:$AO$501,MATCH($A327,'Réel 2024'!$A$2:$A$501,0),MATCH(Q$2,'Réel 2024'!$A$2:$AO$2,0))</f>
        <v>1729.64</v>
      </c>
      <c r="R327" s="228"/>
      <c r="S327" s="202">
        <f t="shared" si="58"/>
        <v>71.099999999999909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355.23784916003535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567.48</v>
      </c>
      <c r="M328" s="763"/>
      <c r="N328" s="199">
        <f t="shared" si="57"/>
        <v>212.24215083996467</v>
      </c>
      <c r="O328" s="228"/>
      <c r="P328" s="183"/>
      <c r="Q328" s="185">
        <f t="array" ref="Q328">+INDEX('Réel 2024'!$A$2:$AO$501,MATCH($A328,'Réel 2024'!$A$2:$A$501,0),MATCH(Q$2,'Réel 2024'!$A$2:$AO$2,0))</f>
        <v>384.94</v>
      </c>
      <c r="R328" s="228"/>
      <c r="S328" s="202">
        <f t="shared" si="58"/>
        <v>182.54000000000002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2024'!$A$2:$AO$501,MATCH($A329,'Réel 2024'!$A$2:$A$501,0),MATCH(Q$2,'Réel 2024'!$A$2:$AO$2,0))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0.33205089339824706</v>
      </c>
      <c r="F330" s="41">
        <f>+SUM(F318:F329)</f>
        <v>28819.856773655971</v>
      </c>
      <c r="G330" s="42"/>
      <c r="H330" s="40"/>
      <c r="I330" s="41"/>
      <c r="J330" s="42" t="s">
        <v>108</v>
      </c>
      <c r="K330" s="40">
        <f>L330/L$314</f>
        <v>0.24385163347173552</v>
      </c>
      <c r="L330" s="41">
        <f>+SUM(L318:L329)</f>
        <v>29284.050000000003</v>
      </c>
      <c r="M330" s="43"/>
      <c r="N330" s="46">
        <f t="shared" si="57"/>
        <v>464.19322634403215</v>
      </c>
      <c r="O330" s="42" t="s">
        <v>108</v>
      </c>
      <c r="P330" s="40">
        <f>Q330/Q$314</f>
        <v>0.33818069912719428</v>
      </c>
      <c r="Q330" s="41">
        <f>+SUM(Q318:Q329)</f>
        <v>28154.25</v>
      </c>
      <c r="R330" s="43"/>
      <c r="S330" s="286">
        <f t="shared" si="58"/>
        <v>1129.8000000000029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3614.631435814646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4993</v>
      </c>
      <c r="M331" s="228"/>
      <c r="N331" s="230">
        <f t="shared" si="57"/>
        <v>1378.368564185354</v>
      </c>
      <c r="O331" s="228"/>
      <c r="P331" s="183"/>
      <c r="Q331" s="185">
        <f t="array" ref="Q331">+INDEX('Réel 2024'!$A$2:$AO$501,MATCH($A331,'Réel 2024'!$A$2:$A$501,0),MATCH(Q$2,'Réel 2024'!$A$2:$AO$2,0))</f>
        <v>3548.03</v>
      </c>
      <c r="R331" s="228"/>
      <c r="S331" s="202">
        <f t="shared" si="58"/>
        <v>1444.9699999999998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575</v>
      </c>
      <c r="G332" s="274"/>
      <c r="H332" s="183"/>
      <c r="I332" s="184"/>
      <c r="J332" s="228"/>
      <c r="K332" s="183"/>
      <c r="L332" s="184">
        <f>SUMIFS(BV_Data_An_Cour!$O:$O,BV_Data_An_Cour!$U:$U,$B332,BV_Data_An_Cour!$V:$V,$C332,BV_Data_An_Cour!$W:$W,$L$2)</f>
        <v>260.11</v>
      </c>
      <c r="M332" s="228"/>
      <c r="N332" s="230">
        <f t="shared" si="57"/>
        <v>-314.89</v>
      </c>
      <c r="O332" s="228"/>
      <c r="P332" s="183"/>
      <c r="Q332" s="185">
        <f t="array" ref="Q332">+INDEX('Réel 2024'!$A$2:$AO$501,MATCH($A332,'Réel 2024'!$A$2:$A$501,0),MATCH(Q$2,'Réel 2024'!$A$2:$AO$2,0))</f>
        <v>2876.94</v>
      </c>
      <c r="R332" s="228"/>
      <c r="S332" s="202">
        <f t="shared" si="58"/>
        <v>-2616.83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6053.9333333333334</v>
      </c>
      <c r="G333" s="282"/>
      <c r="H333" s="281"/>
      <c r="I333" s="182"/>
      <c r="J333" s="283"/>
      <c r="K333" s="281"/>
      <c r="L333" s="182">
        <f>SUMIFS(BV_Data_An_Cour!$O:$O,BV_Data_An_Cour!$U:$U,$B333,BV_Data_An_Cour!$V:$V,$C333,BV_Data_An_Cour!$W:$W,$L$2)</f>
        <v>5490.18</v>
      </c>
      <c r="M333" s="283"/>
      <c r="N333" s="284">
        <f t="shared" si="57"/>
        <v>-563.7533333333331</v>
      </c>
      <c r="O333" s="283"/>
      <c r="P333" s="281"/>
      <c r="Q333" s="185">
        <f t="array" ref="Q333">+INDEX('Réel 2024'!$A$2:$AO$501,MATCH($A333,'Réel 2024'!$A$2:$A$501,0),MATCH(Q$2,'Réel 2024'!$A$2:$AO$2,0))</f>
        <v>4303.67</v>
      </c>
      <c r="R333" s="283"/>
      <c r="S333" s="205">
        <f t="shared" si="58"/>
        <v>1186.5100000000002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1826.8000000000002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1828.98</v>
      </c>
      <c r="M334" s="228"/>
      <c r="N334" s="230">
        <f t="shared" si="57"/>
        <v>2.1799999999998363</v>
      </c>
      <c r="O334" s="228"/>
      <c r="P334" s="183"/>
      <c r="Q334" s="186">
        <f t="array" ref="Q334">+INDEX('Réel 2024'!$A$2:$AO$501,MATCH($A334,'Réel 2024'!$A$2:$A$501,0),MATCH(Q$2,'Réel 2024'!$A$2:$AO$2,0))</f>
        <v>1777.19</v>
      </c>
      <c r="R334" s="228"/>
      <c r="S334" s="202">
        <f t="shared" si="58"/>
        <v>51.789999999999964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366.66666666666669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494</v>
      </c>
      <c r="M335" s="228"/>
      <c r="N335" s="230">
        <f t="shared" si="57"/>
        <v>127.33333333333331</v>
      </c>
      <c r="O335" s="228"/>
      <c r="P335" s="183"/>
      <c r="Q335" s="185">
        <f t="array" ref="Q335">+INDEX('Réel 2024'!$A$2:$AO$501,MATCH($A335,'Réel 2024'!$A$2:$A$501,0),MATCH(Q$2,'Réel 2024'!$A$2:$AO$2,0))</f>
        <v>626.54</v>
      </c>
      <c r="R335" s="228"/>
      <c r="S335" s="202">
        <f t="shared" si="58"/>
        <v>-132.53999999999996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2023.2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2944.8199999999997</v>
      </c>
      <c r="M336" s="283"/>
      <c r="N336" s="284">
        <f t="shared" si="57"/>
        <v>921.61999999999966</v>
      </c>
      <c r="O336" s="283"/>
      <c r="P336" s="281"/>
      <c r="Q336" s="355">
        <f t="array" ref="Q336">+INDEX('Réel 2024'!$A$2:$AO$501,MATCH($A336,'Réel 2024'!$A$2:$A$501,0),MATCH(Q$2,'Réel 2024'!$A$2:$AO$2,0))</f>
        <v>1731.92</v>
      </c>
      <c r="R336" s="283"/>
      <c r="S336" s="205">
        <f t="shared" si="58"/>
        <v>1212.8999999999996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2024'!$A$2:$AO$501,MATCH($A337,'Réel 2024'!$A$2:$A$501,0),MATCH(Q$2,'Réel 2024'!$A$2:$AO$2,0))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10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-10</v>
      </c>
      <c r="O338" s="228"/>
      <c r="P338" s="183"/>
      <c r="Q338" s="185">
        <f t="array" ref="Q338">+INDEX('Réel 2024'!$A$2:$AO$501,MATCH($A338,'Réel 2024'!$A$2:$A$501,0),MATCH(Q$2,'Réel 2024'!$A$2:$AO$2,0))</f>
        <v>0</v>
      </c>
      <c r="R338" s="228"/>
      <c r="S338" s="202">
        <f t="shared" si="58"/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20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132</v>
      </c>
      <c r="M339" s="228"/>
      <c r="N339" s="230">
        <f t="shared" si="57"/>
        <v>112</v>
      </c>
      <c r="O339" s="228"/>
      <c r="P339" s="183"/>
      <c r="Q339" s="185">
        <f t="array" ref="Q339">+INDEX('Réel 2024'!$A$2:$AO$501,MATCH($A339,'Réel 2024'!$A$2:$A$501,0),MATCH(Q$2,'Réel 2024'!$A$2:$AO$2,0))</f>
        <v>0</v>
      </c>
      <c r="R339" s="228"/>
      <c r="S339" s="202">
        <f t="shared" si="58"/>
        <v>132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315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191.75</v>
      </c>
      <c r="M340" s="228"/>
      <c r="N340" s="230">
        <f t="shared" si="57"/>
        <v>-123.25</v>
      </c>
      <c r="O340" s="228"/>
      <c r="P340" s="183"/>
      <c r="Q340" s="478">
        <f t="array" ref="Q340">+INDEX('Réel 2024'!$A$2:$AO$501,MATCH($A340,'Réel 2024'!$A$2:$A$501,0),MATCH(Q$2,'Réel 2024'!$A$2:$AO$2,0))</f>
        <v>183.86</v>
      </c>
      <c r="R340" s="228"/>
      <c r="S340" s="202">
        <f t="shared" si="58"/>
        <v>7.8899999999999864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98.66</v>
      </c>
      <c r="M341" s="228"/>
      <c r="N341" s="230">
        <f t="shared" si="57"/>
        <v>-19.740000000000009</v>
      </c>
      <c r="O341" s="228"/>
      <c r="P341" s="183"/>
      <c r="Q341" s="185">
        <f t="array" ref="Q341">+INDEX('Réel 2024'!$A$2:$AO$501,MATCH($A341,'Réel 2024'!$A$2:$A$501,0),MATCH(Q$2,'Réel 2024'!$A$2:$AO$2,0))</f>
        <v>119.64</v>
      </c>
      <c r="R341" s="228"/>
      <c r="S341" s="202">
        <f t="shared" si="58"/>
        <v>-20.980000000000004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590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966.51</v>
      </c>
      <c r="M342" s="228"/>
      <c r="N342" s="230">
        <f t="shared" si="57"/>
        <v>376.51</v>
      </c>
      <c r="O342" s="228"/>
      <c r="P342" s="183"/>
      <c r="Q342" s="185">
        <f t="array" ref="Q342">+INDEX('Réel 2024'!$A$2:$AO$501,MATCH($A342,'Réel 2024'!$A$2:$A$501,0),MATCH(Q$2,'Réel 2024'!$A$2:$AO$2,0))</f>
        <v>910.18</v>
      </c>
      <c r="R342" s="228"/>
      <c r="S342" s="202">
        <f t="shared" si="58"/>
        <v>56.330000000000041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348.20000000000005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303.2</v>
      </c>
      <c r="M343" s="228"/>
      <c r="N343" s="230">
        <f t="shared" si="57"/>
        <v>-45.000000000000057</v>
      </c>
      <c r="O343" s="228"/>
      <c r="P343" s="183"/>
      <c r="Q343" s="185">
        <f t="array" ref="Q343">+INDEX('Réel 2024'!$A$2:$AO$501,MATCH($A343,'Réel 2024'!$A$2:$A$501,0),MATCH(Q$2,'Réel 2024'!$A$2:$AO$2,0))</f>
        <v>370.2</v>
      </c>
      <c r="R343" s="228"/>
      <c r="S343" s="202">
        <f t="shared" si="58"/>
        <v>-67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256.41489333333328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243.68</v>
      </c>
      <c r="M344" s="228"/>
      <c r="N344" s="230">
        <f t="shared" si="57"/>
        <v>-12.734893333333275</v>
      </c>
      <c r="O344" s="228"/>
      <c r="P344" s="183"/>
      <c r="Q344" s="185">
        <f t="array" ref="Q344">+INDEX('Réel 2024'!$A$2:$AO$501,MATCH($A344,'Réel 2024'!$A$2:$A$501,0),MATCH(Q$2,'Réel 2024'!$A$2:$AO$2,0))</f>
        <v>130.77000000000001</v>
      </c>
      <c r="R344" s="228"/>
      <c r="S344" s="202">
        <f>L344-Q344</f>
        <v>112.91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1814.843132016204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1989.28</v>
      </c>
      <c r="M345" s="228"/>
      <c r="N345" s="230">
        <f t="shared" si="57"/>
        <v>174.43686798379599</v>
      </c>
      <c r="O345" s="228"/>
      <c r="P345" s="183"/>
      <c r="Q345" s="185">
        <f t="array" ref="Q345">+INDEX('Réel 2024'!$A$2:$AO$501,MATCH($A345,'Réel 2024'!$A$2:$A$501,0),MATCH(Q$2,'Réel 2024'!$A$2:$AO$2,0))</f>
        <v>1950.25</v>
      </c>
      <c r="R345" s="228"/>
      <c r="S345" s="202">
        <f>L345-Q345</f>
        <v>39.029999999999973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2024'!$A$2:$AO$501,MATCH($A346,'Réel 2024'!$A$2:$A$501,0),MATCH(Q$2,'Réel 2024'!$A$2:$AO$2,0))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2024'!$A$2:$AO$501,MATCH($A347,'Réel 2024'!$A$2:$A$501,0),MATCH(Q$2,'Réel 2024'!$A$2:$AO$2,0))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2024'!$A$2:$AO$501,MATCH($A348,'Réel 2024'!$A$2:$A$501,0),MATCH(Q$2,'Réel 2024'!$A$2:$AO$2,0))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0.20661790319559822</v>
      </c>
      <c r="F349" s="41">
        <f>+SUM(F331:F348)</f>
        <v>17933.089461164182</v>
      </c>
      <c r="G349" s="42"/>
      <c r="H349" s="40"/>
      <c r="I349" s="41"/>
      <c r="J349" s="42" t="s">
        <v>108</v>
      </c>
      <c r="K349" s="40">
        <f>L349/L$314</f>
        <v>0.16601076762504532</v>
      </c>
      <c r="L349" s="41">
        <f>+SUM(L331:L348)</f>
        <v>19936.169999999998</v>
      </c>
      <c r="M349" s="44"/>
      <c r="N349" s="41">
        <f>+SUM(N331:N348)</f>
        <v>2003.0805388358165</v>
      </c>
      <c r="O349" s="42" t="s">
        <v>108</v>
      </c>
      <c r="P349" s="40">
        <f>Q349/Q$314</f>
        <v>0.22256726527826587</v>
      </c>
      <c r="Q349" s="41">
        <f>+SUM(Q331:Q348)</f>
        <v>18529.189999999999</v>
      </c>
      <c r="R349" s="44"/>
      <c r="S349" s="290">
        <f>+SUM(S331:S348)</f>
        <v>1406.9799999999996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0.53866879659384526</v>
      </c>
      <c r="F351" s="41">
        <f>F330+F349</f>
        <v>46752.946234820149</v>
      </c>
      <c r="G351" s="42"/>
      <c r="H351" s="40"/>
      <c r="I351" s="41"/>
      <c r="J351" s="42" t="s">
        <v>108</v>
      </c>
      <c r="K351" s="40">
        <f>L351/L$314</f>
        <v>0.40986240109678085</v>
      </c>
      <c r="L351" s="41">
        <f>L330+L349</f>
        <v>49220.22</v>
      </c>
      <c r="M351" s="44"/>
      <c r="N351" s="46">
        <f>L351-F351</f>
        <v>2467.2737651798525</v>
      </c>
      <c r="O351" s="42" t="s">
        <v>108</v>
      </c>
      <c r="P351" s="40">
        <f>Q351/Q$314</f>
        <v>0.56074796440546015</v>
      </c>
      <c r="Q351" s="41">
        <f>Q330+Q349</f>
        <v>46683.44</v>
      </c>
      <c r="R351" s="44"/>
      <c r="S351" s="286">
        <f>L351-Q351</f>
        <v>2536.7799999999988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40040.546409365328</v>
      </c>
      <c r="G353" s="312"/>
      <c r="H353" s="310"/>
      <c r="I353" s="311"/>
      <c r="J353" s="313"/>
      <c r="K353" s="314"/>
      <c r="L353" s="311">
        <f>L314-L351</f>
        <v>70869.400000000009</v>
      </c>
      <c r="M353" s="313"/>
      <c r="N353" s="311">
        <f>L353-F353</f>
        <v>30828.853590634681</v>
      </c>
      <c r="O353" s="313"/>
      <c r="P353" s="314"/>
      <c r="Q353" s="311">
        <f>Q314-Q351</f>
        <v>36568.649999999703</v>
      </c>
      <c r="R353" s="313"/>
      <c r="S353" s="315">
        <f>L353-Q353</f>
        <v>34300.750000000306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Avril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39" t="s">
        <v>77</v>
      </c>
      <c r="E358" s="1240"/>
      <c r="F358" s="1241"/>
      <c r="G358" s="1244"/>
      <c r="H358" s="1240"/>
      <c r="I358" s="1241"/>
      <c r="J358" s="1244" t="s">
        <v>78</v>
      </c>
      <c r="K358" s="1240"/>
      <c r="L358" s="1241"/>
      <c r="M358" s="1244"/>
      <c r="N358" s="1241"/>
      <c r="O358" s="1239" t="s">
        <v>79</v>
      </c>
      <c r="P358" s="1240"/>
      <c r="Q358" s="1241"/>
      <c r="R358" s="1244" t="s">
        <v>80</v>
      </c>
      <c r="S358" s="124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23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2024'!$A$2:$AO$501,MATCH($A365,'Réel 2024'!$A$2:$A$501,0),MATCH(Q$2,'Réel 2024'!$A$2:$AO$2,0))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2024'!$A$2:$AO$501,MATCH($A366,'Réel 2024'!$A$2:$A$501,0),MATCH(Q$2,'Réel 2024'!$A$2:$AO$2,0))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2024'!$A$2:$AO$501,MATCH($A367,'Réel 2024'!$A$2:$A$501,0),MATCH(Q$2,'Réel 2024'!$A$2:$AO$2,0))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2024'!$A$2:$AO$501,MATCH($A368,'Réel 2024'!$A$2:$A$501,0),MATCH(Q$2,'Réel 2024'!$A$2:$AO$2,0))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2024'!$A$2:$AO$501,MATCH($A369,'Réel 2024'!$A$2:$A$501,0),MATCH(Q$2,'Réel 2024'!$A$2:$AO$2,0))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2024'!$A$2:$AO$501,MATCH($A370,'Réel 2024'!$A$2:$A$501,0),MATCH(Q$2,'Réel 2024'!$A$2:$AO$2,0))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2024'!$A$2:$AO$501,MATCH($A371,'Réel 2024'!$A$2:$A$501,0),MATCH(Q$2,'Réel 2024'!$A$2:$AO$2,0))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2024'!$A$2:$AO$501,MATCH($A372,'Réel 2024'!$A$2:$A$501,0),MATCH(Q$2,'Réel 2024'!$A$2:$AO$2,0))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2024'!$A$2:$AO$501,MATCH($A373,'Réel 2024'!$A$2:$A$501,0),MATCH(Q$2,'Réel 2024'!$A$2:$AO$2,0))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2024'!$A$2:$AO$501,MATCH($A374,'Réel 2024'!$A$2:$A$501,0),MATCH(Q$2,'Réel 2024'!$A$2:$AO$2,0))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2024'!$A$2:$AO$501,MATCH($A375,'Réel 2024'!$A$2:$A$501,0),MATCH(Q$2,'Réel 2024'!$A$2:$AO$2,0))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2024'!$A$2:$AO$501,MATCH($A376,'Réel 2024'!$A$2:$A$501,0),MATCH(Q$2,'Réel 2024'!$A$2:$AO$2,0))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2024'!$A$2:$AO$501,MATCH($A378,'Réel 2024'!$A$2:$A$501,0),MATCH(Q$2,'Réel 2024'!$A$2:$AO$2,0))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2024'!$A$2:$AO$501,MATCH($A379,'Réel 2024'!$A$2:$A$501,0),MATCH(Q$2,'Réel 2024'!$A$2:$AO$2,0))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2024'!$A$2:$AO$501,MATCH($A380,'Réel 2024'!$A$2:$A$501,0),MATCH(Q$2,'Réel 2024'!$A$2:$AO$2,0))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2024'!$A$2:$AO$501,MATCH($A381,'Réel 2024'!$A$2:$A$501,0),MATCH(Q$2,'Réel 2024'!$A$2:$AO$2,0))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2024'!$A$2:$AO$501,MATCH($A382,'Réel 2024'!$A$2:$A$501,0),MATCH(Q$2,'Réel 2024'!$A$2:$AO$2,0))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2024'!$A$2:$AO$501,MATCH($A383,'Réel 2024'!$A$2:$A$501,0),MATCH(Q$2,'Réel 2024'!$A$2:$AO$2,0))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2024'!$A$2:$AO$501,MATCH($A384,'Réel 2024'!$A$2:$A$501,0),MATCH(Q$2,'Réel 2024'!$A$2:$AO$2,0))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2024'!$A$2:$AO$501,MATCH($A385,'Réel 2024'!$A$2:$A$501,0),MATCH(Q$2,'Réel 2024'!$A$2:$AO$2,0))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2024'!$A$2:$AO$501,MATCH($A386,'Réel 2024'!$A$2:$A$501,0),MATCH(Q$2,'Réel 2024'!$A$2:$AO$2,0))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2024'!$A$2:$AO$501,MATCH($A387,'Réel 2024'!$A$2:$A$501,0),MATCH(Q$2,'Réel 2024'!$A$2:$AO$2,0))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2024'!$A$2:$AO$501,MATCH($A388,'Réel 2024'!$A$2:$A$501,0),MATCH(Q$2,'Réel 2024'!$A$2:$AO$2,0))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2024'!$A$2:$AO$501,MATCH($A389,'Réel 2024'!$A$2:$A$501,0),MATCH(Q$2,'Réel 2024'!$A$2:$AO$2,0))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2024'!$A$2:$AO$501,MATCH($A390,'Réel 2024'!$A$2:$A$501,0),MATCH(Q$2,'Réel 2024'!$A$2:$AO$2,0))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2024'!$A$2:$AO$501,MATCH($A391,'Réel 2024'!$A$2:$A$501,0),MATCH(Q$2,'Réel 2024'!$A$2:$AO$2,0))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2024'!$A$2:$AO$501,MATCH($A392,'Réel 2024'!$A$2:$A$501,0),MATCH(Q$2,'Réel 2024'!$A$2:$AO$2,0))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2024'!$A$2:$AO$501,MATCH($A393,'Réel 2024'!$A$2:$A$501,0),MATCH(Q$2,'Réel 2024'!$A$2:$AO$2,0))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2024'!$A$2:$AO$501,MATCH($A394,'Réel 2024'!$A$2:$A$501,0),MATCH(Q$2,'Réel 2024'!$A$2:$AO$2,0))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57663.036484688273</v>
      </c>
      <c r="G401" s="25"/>
      <c r="H401" s="25"/>
      <c r="I401" s="25"/>
      <c r="J401" s="25"/>
      <c r="K401" s="25"/>
      <c r="L401" s="37">
        <f>L353+L289+L233</f>
        <v>107912.30999999998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Avril 2025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9" t="s">
        <v>186</v>
      </c>
      <c r="Y404" s="1246"/>
      <c r="Z404" s="1250"/>
      <c r="AA404" s="1245"/>
      <c r="AB404" s="1246"/>
      <c r="AC404" s="1250"/>
      <c r="AD404" s="1245" t="s">
        <v>78</v>
      </c>
      <c r="AE404" s="1246"/>
      <c r="AF404" s="1250"/>
      <c r="AG404" s="1245" t="s">
        <v>2443</v>
      </c>
      <c r="AH404" s="1246"/>
      <c r="AI404" s="1250"/>
      <c r="AJ404" s="1245" t="s">
        <v>2336</v>
      </c>
      <c r="AK404" s="1246"/>
      <c r="AL404" s="1246"/>
      <c r="AM404" s="1245" t="s">
        <v>187</v>
      </c>
      <c r="AN404" s="1246"/>
      <c r="AO404" s="1247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5499524.6424733466</v>
      </c>
      <c r="AA406" s="393"/>
      <c r="AB406" s="393"/>
      <c r="AC406" s="394"/>
      <c r="AD406" s="395"/>
      <c r="AE406" s="396"/>
      <c r="AF406" s="396">
        <f>L5+L93+K194+K250+J314+J362</f>
        <v>4784256.5200000005</v>
      </c>
      <c r="AG406" s="395"/>
      <c r="AH406" s="396"/>
      <c r="AI406" s="397"/>
      <c r="AJ406" s="395"/>
      <c r="AK406" s="396"/>
      <c r="AL406" s="396">
        <f>Q5+Q93+P194+P250+O314+O362</f>
        <v>5136322.2499999898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481039.74899517075</v>
      </c>
      <c r="AA407" s="81"/>
      <c r="AB407" s="81"/>
      <c r="AC407" s="82"/>
      <c r="AD407" s="83"/>
      <c r="AE407" s="84"/>
      <c r="AF407" s="84">
        <f>L27+L108+L194+L250+L314+L362</f>
        <v>587240.1399999999</v>
      </c>
      <c r="AG407" s="83"/>
      <c r="AH407" s="84">
        <f>AF407-Z407</f>
        <v>106200.39100482914</v>
      </c>
      <c r="AI407" s="85">
        <f>AH407/Z407</f>
        <v>0.22077258943084827</v>
      </c>
      <c r="AJ407" s="83">
        <f>+AL407/AL406</f>
        <v>9.1748840330257819E-2</v>
      </c>
      <c r="AK407" s="84"/>
      <c r="AL407" s="84">
        <f>Q27+Q108+Q194+Q250+Q314+Q362</f>
        <v>471251.60999999964</v>
      </c>
      <c r="AM407" s="86"/>
      <c r="AN407" s="84">
        <f>AF407-AL407</f>
        <v>115988.53000000026</v>
      </c>
      <c r="AO407" s="401">
        <f>IF(AL407=0,0,AN407/AL407)</f>
        <v>0.2461286657460976</v>
      </c>
      <c r="AP407" s="79"/>
      <c r="AQ407" s="79" t="s">
        <v>2359</v>
      </c>
      <c r="AR407" s="101">
        <f>W27+W108+W194+W314</f>
        <v>559207</v>
      </c>
      <c r="AS407" s="101">
        <f>AF407-AR407</f>
        <v>28033.139999999898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897.37536110876499</v>
      </c>
      <c r="Z409" s="87">
        <f t="shared" ref="Z409:Z415" si="64">+SUMIF($C:$C,$V409,F:F)</f>
        <v>49355.644860982073</v>
      </c>
      <c r="AA409" s="403"/>
      <c r="AB409" s="409"/>
      <c r="AC409" s="87"/>
      <c r="AD409" s="410"/>
      <c r="AE409" s="409">
        <f t="shared" ref="AE409:AE414" si="65">IF(AF409=0,0,AF409/(J$13+J$97))</f>
        <v>1075.2397674418605</v>
      </c>
      <c r="AF409" s="87">
        <f t="shared" ref="AF409:AF415" si="66">+SUMIF($C:$C,$V409,L:L)</f>
        <v>46235.31</v>
      </c>
      <c r="AG409" s="404">
        <f t="shared" ref="AG409:AG418" si="67">AE409-Y409</f>
        <v>177.86440633309553</v>
      </c>
      <c r="AH409" s="405">
        <f t="shared" ref="AH409:AH418" si="68">AF409-Z409</f>
        <v>-3120.334860982075</v>
      </c>
      <c r="AI409" s="406">
        <f t="shared" ref="AI409:AI418" si="69">IF(Z409=0,0,AH409/Z409)</f>
        <v>-6.322143839414901E-2</v>
      </c>
      <c r="AJ409" s="410"/>
      <c r="AK409" s="405">
        <f t="shared" ref="AK409:AK418" si="70">AL409/(O$13+O$97)</f>
        <v>1065.9484905660377</v>
      </c>
      <c r="AL409" s="87">
        <f t="shared" ref="AL409:AL414" si="71">+SUMIF($C:$C,$V409,Q:Q)</f>
        <v>56495.27</v>
      </c>
      <c r="AM409" s="407">
        <f t="shared" ref="AM409:AM414" si="72">AE409-Y409</f>
        <v>177.86440633309553</v>
      </c>
      <c r="AN409" s="405">
        <f t="shared" ref="AN409:AN414" si="73">AF409-AL409</f>
        <v>-10259.959999999999</v>
      </c>
      <c r="AO409" s="217">
        <f t="shared" ref="AO409:AO431" si="74">IF(AL409=0,0,AN409/AL409)</f>
        <v>-0.18160741598367439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460.55</v>
      </c>
      <c r="Z410" s="394">
        <f t="shared" si="64"/>
        <v>25330.25</v>
      </c>
      <c r="AA410" s="393"/>
      <c r="AB410" s="412"/>
      <c r="AC410" s="394"/>
      <c r="AD410" s="413"/>
      <c r="AE410" s="412">
        <f t="shared" si="65"/>
        <v>903.27860465116271</v>
      </c>
      <c r="AF410" s="394">
        <f t="shared" si="66"/>
        <v>38840.979999999996</v>
      </c>
      <c r="AG410" s="395">
        <f t="shared" si="67"/>
        <v>442.7286046511627</v>
      </c>
      <c r="AH410" s="396">
        <f t="shared" si="68"/>
        <v>13510.729999999996</v>
      </c>
      <c r="AI410" s="414">
        <f t="shared" si="69"/>
        <v>0.53338320782463644</v>
      </c>
      <c r="AJ410" s="413"/>
      <c r="AK410" s="396">
        <f t="shared" si="70"/>
        <v>596.42735849056612</v>
      </c>
      <c r="AL410" s="394">
        <f t="shared" si="71"/>
        <v>31610.65</v>
      </c>
      <c r="AM410" s="398">
        <f t="shared" si="72"/>
        <v>442.7286046511627</v>
      </c>
      <c r="AN410" s="396">
        <f t="shared" si="73"/>
        <v>7230.3299999999945</v>
      </c>
      <c r="AO410" s="218">
        <f t="shared" si="74"/>
        <v>0.2287308233142942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119.81818181818181</v>
      </c>
      <c r="Z411" s="87">
        <f t="shared" si="64"/>
        <v>6590</v>
      </c>
      <c r="AA411" s="403"/>
      <c r="AB411" s="409"/>
      <c r="AC411" s="87"/>
      <c r="AD411" s="410"/>
      <c r="AE411" s="409">
        <f t="shared" si="65"/>
        <v>130.68465116279069</v>
      </c>
      <c r="AF411" s="87">
        <f t="shared" si="66"/>
        <v>5619.44</v>
      </c>
      <c r="AG411" s="404">
        <f t="shared" si="67"/>
        <v>10.866469344608873</v>
      </c>
      <c r="AH411" s="405">
        <f t="shared" si="68"/>
        <v>-970.5600000000004</v>
      </c>
      <c r="AI411" s="406">
        <f t="shared" si="69"/>
        <v>-0.14727769347496211</v>
      </c>
      <c r="AJ411" s="410"/>
      <c r="AK411" s="405">
        <f t="shared" si="70"/>
        <v>75.8533962264151</v>
      </c>
      <c r="AL411" s="87">
        <f t="shared" si="71"/>
        <v>4020.2300000000005</v>
      </c>
      <c r="AM411" s="407">
        <f t="shared" si="72"/>
        <v>10.866469344608873</v>
      </c>
      <c r="AN411" s="405">
        <f t="shared" si="73"/>
        <v>1599.2099999999991</v>
      </c>
      <c r="AO411" s="217">
        <f t="shared" si="74"/>
        <v>0.3977906736679242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67.672727272727272</v>
      </c>
      <c r="Z412" s="87">
        <f t="shared" si="64"/>
        <v>3722</v>
      </c>
      <c r="AA412" s="403"/>
      <c r="AB412" s="409"/>
      <c r="AC412" s="87"/>
      <c r="AD412" s="410"/>
      <c r="AE412" s="409">
        <f t="shared" si="65"/>
        <v>61.715116279069768</v>
      </c>
      <c r="AF412" s="87">
        <f t="shared" si="66"/>
        <v>2653.75</v>
      </c>
      <c r="AG412" s="404">
        <f t="shared" si="67"/>
        <v>-5.9576109936575037</v>
      </c>
      <c r="AH412" s="405">
        <f t="shared" si="68"/>
        <v>-1068.25</v>
      </c>
      <c r="AI412" s="406">
        <f t="shared" si="69"/>
        <v>-0.28700967221923696</v>
      </c>
      <c r="AJ412" s="410"/>
      <c r="AK412" s="405">
        <f t="shared" si="70"/>
        <v>25.306792452830187</v>
      </c>
      <c r="AL412" s="87">
        <f t="shared" si="71"/>
        <v>1341.26</v>
      </c>
      <c r="AM412" s="407">
        <f t="shared" si="72"/>
        <v>-5.9576109936575037</v>
      </c>
      <c r="AN412" s="405">
        <f t="shared" si="73"/>
        <v>1312.49</v>
      </c>
      <c r="AO412" s="219">
        <f t="shared" si="74"/>
        <v>0.97855002013032522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70.545454545454547</v>
      </c>
      <c r="Z413" s="394">
        <f t="shared" si="64"/>
        <v>3880</v>
      </c>
      <c r="AA413" s="393"/>
      <c r="AB413" s="412"/>
      <c r="AC413" s="394"/>
      <c r="AD413" s="413"/>
      <c r="AE413" s="412">
        <f t="shared" si="65"/>
        <v>82.665581395348838</v>
      </c>
      <c r="AF413" s="394">
        <f t="shared" si="66"/>
        <v>3554.62</v>
      </c>
      <c r="AG413" s="395">
        <f t="shared" si="67"/>
        <v>12.120126849894291</v>
      </c>
      <c r="AH413" s="396">
        <f t="shared" si="68"/>
        <v>-325.38000000000011</v>
      </c>
      <c r="AI413" s="414">
        <f t="shared" si="69"/>
        <v>-8.3860824742268067E-2</v>
      </c>
      <c r="AJ413" s="413"/>
      <c r="AK413" s="396">
        <f t="shared" si="70"/>
        <v>69.646226415094333</v>
      </c>
      <c r="AL413" s="394">
        <f t="shared" si="71"/>
        <v>3691.25</v>
      </c>
      <c r="AM413" s="398">
        <f t="shared" si="72"/>
        <v>12.120126849894291</v>
      </c>
      <c r="AN413" s="396">
        <f t="shared" si="73"/>
        <v>-136.63000000000011</v>
      </c>
      <c r="AO413" s="218">
        <f t="shared" si="74"/>
        <v>-3.7014561462919093E-2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406.76470588235298</v>
      </c>
      <c r="Z414" s="87">
        <f t="shared" si="64"/>
        <v>22372.058823529413</v>
      </c>
      <c r="AA414" s="406"/>
      <c r="AB414" s="409"/>
      <c r="AC414" s="87"/>
      <c r="AD414" s="410"/>
      <c r="AE414" s="409">
        <f t="shared" si="65"/>
        <v>516.86395348837209</v>
      </c>
      <c r="AF414" s="87">
        <f t="shared" si="66"/>
        <v>22225.149999999998</v>
      </c>
      <c r="AG414" s="404">
        <f t="shared" si="67"/>
        <v>110.09924760601911</v>
      </c>
      <c r="AH414" s="405">
        <f t="shared" si="68"/>
        <v>-146.9088235294148</v>
      </c>
      <c r="AI414" s="406">
        <f t="shared" si="69"/>
        <v>-6.5666206533886847E-3</v>
      </c>
      <c r="AJ414" s="410"/>
      <c r="AK414" s="405">
        <f t="shared" si="70"/>
        <v>401.3339622641509</v>
      </c>
      <c r="AL414" s="87">
        <f t="shared" si="71"/>
        <v>21270.699999999997</v>
      </c>
      <c r="AM414" s="407">
        <f t="shared" si="72"/>
        <v>110.09924760601911</v>
      </c>
      <c r="AN414" s="405">
        <f t="shared" si="73"/>
        <v>954.45000000000073</v>
      </c>
      <c r="AO414" s="217">
        <f t="shared" si="74"/>
        <v>4.4871583915903138E-2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667.28591696159424</v>
      </c>
      <c r="Z415" s="87">
        <f t="shared" si="64"/>
        <v>36700.725432887681</v>
      </c>
      <c r="AA415" s="403"/>
      <c r="AB415" s="409"/>
      <c r="AC415" s="87"/>
      <c r="AD415" s="410"/>
      <c r="AE415" s="409">
        <f>IF(AF415=0,0,AF415/(J$13+J$13))</f>
        <v>689.92714285714283</v>
      </c>
      <c r="AF415" s="87">
        <f t="shared" si="66"/>
        <v>28976.94</v>
      </c>
      <c r="AG415" s="404">
        <f t="shared" si="67"/>
        <v>22.641225895548587</v>
      </c>
      <c r="AH415" s="405">
        <f t="shared" si="68"/>
        <v>-7723.785432887682</v>
      </c>
      <c r="AI415" s="406">
        <f t="shared" si="69"/>
        <v>-0.21045320880677645</v>
      </c>
      <c r="AJ415" s="410"/>
      <c r="AK415" s="405">
        <f t="shared" si="70"/>
        <v>841.99981132075482</v>
      </c>
      <c r="AL415" s="87">
        <f>IFERROR(SUMIF($C:$C,$V415,Q:Q),0)</f>
        <v>44625.990000000005</v>
      </c>
      <c r="AM415" s="407">
        <f>AE415-Y415</f>
        <v>22.641225895548587</v>
      </c>
      <c r="AN415" s="405">
        <f>AF415-AL415</f>
        <v>-15649.050000000007</v>
      </c>
      <c r="AO415" s="218">
        <f t="shared" si="74"/>
        <v>-0.35067121200000279</v>
      </c>
      <c r="AP415" s="79"/>
      <c r="AQ415" s="79">
        <v>28977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0.30756435289692552</v>
      </c>
      <c r="Y419" s="88"/>
      <c r="Z419" s="90">
        <f>SUM(Z409:Z418)</f>
        <v>147950.67911739918</v>
      </c>
      <c r="AA419" s="89"/>
      <c r="AB419" s="88"/>
      <c r="AC419" s="90"/>
      <c r="AD419" s="91">
        <f>AF419/AF407</f>
        <v>0.25220719755294657</v>
      </c>
      <c r="AE419" s="88"/>
      <c r="AF419" s="90">
        <f>SUM(AF409:AF418)</f>
        <v>148106.18999999997</v>
      </c>
      <c r="AG419" s="92"/>
      <c r="AH419" s="93">
        <f t="shared" ref="AH419:AH451" si="75">AF419-Z419</f>
        <v>155.51088260079268</v>
      </c>
      <c r="AI419" s="89">
        <f>AH419/Z419</f>
        <v>1.0510994848316611E-3</v>
      </c>
      <c r="AJ419" s="91">
        <f>IF($AL$407=0,0,AL419/$AL$407)</f>
        <v>0.34600486563854943</v>
      </c>
      <c r="AK419" s="88"/>
      <c r="AL419" s="90">
        <f>SUM(AL409:AL418)</f>
        <v>163055.34999999998</v>
      </c>
      <c r="AM419" s="94"/>
      <c r="AN419" s="93">
        <f t="shared" ref="AN419:AN424" si="76">AF419-AL419</f>
        <v>-14949.160000000003</v>
      </c>
      <c r="AO419" s="401">
        <f t="shared" si="74"/>
        <v>-9.1681505697298535E-2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14277.792101385206</v>
      </c>
      <c r="AA420" s="403"/>
      <c r="AB420" s="403"/>
      <c r="AC420" s="87"/>
      <c r="AD420" s="410"/>
      <c r="AE420" s="409"/>
      <c r="AF420" s="87">
        <f>SUMIFS(BV_Data_An_Cour!$O:$O,BV_Data_An_Cour!$V:$V,$V420)</f>
        <v>15867.17</v>
      </c>
      <c r="AG420" s="404"/>
      <c r="AH420" s="405">
        <f t="shared" si="75"/>
        <v>1589.3778986147936</v>
      </c>
      <c r="AI420" s="406">
        <f t="shared" ref="AI420:AI432" si="77">IF(Z420=0,0,AH420/Z420)</f>
        <v>0.11131818472553574</v>
      </c>
      <c r="AJ420" s="410"/>
      <c r="AK420" s="403"/>
      <c r="AL420" s="87">
        <f>+INDEX('Réel 2024'!$A$2:$AO$501,MATCH($A420,'Réel 2024'!$A$2:$A$501,0),MATCH(F$2,'Réel 2024'!$A$2:$AO$2,0))</f>
        <v>11680.48</v>
      </c>
      <c r="AM420" s="407"/>
      <c r="AN420" s="405">
        <f t="shared" si="76"/>
        <v>4186.6900000000005</v>
      </c>
      <c r="AO420" s="217">
        <f t="shared" si="74"/>
        <v>0.35843475610591352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32291.453433539642</v>
      </c>
      <c r="AA421" s="403"/>
      <c r="AB421" s="403"/>
      <c r="AC421" s="87"/>
      <c r="AD421" s="410"/>
      <c r="AE421" s="409"/>
      <c r="AF421" s="87">
        <f t="shared" ref="AF421:AF432" si="79">+SUMIF($C:$C,$V421,L:L)</f>
        <v>34021.32</v>
      </c>
      <c r="AG421" s="404"/>
      <c r="AH421" s="405">
        <f t="shared" si="75"/>
        <v>1729.8665664603577</v>
      </c>
      <c r="AI421" s="406">
        <f t="shared" si="77"/>
        <v>5.3570415157083801E-2</v>
      </c>
      <c r="AJ421" s="410"/>
      <c r="AK421" s="403"/>
      <c r="AL421" s="87">
        <f t="shared" ref="AL421:AL429" si="80">+SUMIF($C:$C,$V421,Q:Q)</f>
        <v>28590.780000000002</v>
      </c>
      <c r="AM421" s="407"/>
      <c r="AN421" s="405">
        <f t="shared" si="76"/>
        <v>5430.5399999999972</v>
      </c>
      <c r="AO421" s="217">
        <f t="shared" si="74"/>
        <v>0.18994025346632715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20084.55076628353</v>
      </c>
      <c r="AA422" s="393"/>
      <c r="AB422" s="393"/>
      <c r="AC422" s="394"/>
      <c r="AD422" s="413"/>
      <c r="AE422" s="412"/>
      <c r="AF422" s="394">
        <f t="shared" si="79"/>
        <v>19029.84</v>
      </c>
      <c r="AG422" s="395"/>
      <c r="AH422" s="396">
        <f t="shared" si="75"/>
        <v>-1054.7107662835297</v>
      </c>
      <c r="AI422" s="414">
        <f t="shared" si="77"/>
        <v>-5.2513535331549496E-2</v>
      </c>
      <c r="AJ422" s="413"/>
      <c r="AK422" s="393"/>
      <c r="AL422" s="394">
        <f t="shared" si="80"/>
        <v>17983.900000000001</v>
      </c>
      <c r="AM422" s="398"/>
      <c r="AN422" s="396">
        <f t="shared" si="76"/>
        <v>1045.9399999999987</v>
      </c>
      <c r="AO422" s="399">
        <f t="shared" si="74"/>
        <v>5.8159798486423893E-2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25114.020695001338</v>
      </c>
      <c r="AA423" s="403"/>
      <c r="AB423" s="403"/>
      <c r="AC423" s="87"/>
      <c r="AD423" s="410"/>
      <c r="AE423" s="409"/>
      <c r="AF423" s="87">
        <f t="shared" si="79"/>
        <v>29255.18</v>
      </c>
      <c r="AG423" s="404"/>
      <c r="AH423" s="405">
        <f t="shared" si="75"/>
        <v>4141.1593049986623</v>
      </c>
      <c r="AI423" s="406">
        <f t="shared" si="77"/>
        <v>0.16489431761211032</v>
      </c>
      <c r="AJ423" s="410"/>
      <c r="AK423" s="403"/>
      <c r="AL423" s="87">
        <f t="shared" si="80"/>
        <v>26589.989999999998</v>
      </c>
      <c r="AM423" s="407"/>
      <c r="AN423" s="405">
        <f t="shared" si="76"/>
        <v>2665.1900000000023</v>
      </c>
      <c r="AO423" s="217">
        <f t="shared" si="74"/>
        <v>0.10023283197925244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14418.309888888889</v>
      </c>
      <c r="AA424" s="403"/>
      <c r="AB424" s="403"/>
      <c r="AC424" s="87"/>
      <c r="AD424" s="410"/>
      <c r="AE424" s="409"/>
      <c r="AF424" s="87">
        <f t="shared" si="79"/>
        <v>16301.36</v>
      </c>
      <c r="AG424" s="404"/>
      <c r="AH424" s="405">
        <f t="shared" si="75"/>
        <v>1883.0501111111116</v>
      </c>
      <c r="AI424" s="406">
        <f t="shared" si="77"/>
        <v>0.13060130664567263</v>
      </c>
      <c r="AJ424" s="410"/>
      <c r="AK424" s="403"/>
      <c r="AL424" s="87">
        <f t="shared" si="80"/>
        <v>12116.41</v>
      </c>
      <c r="AM424" s="407"/>
      <c r="AN424" s="405">
        <f t="shared" si="76"/>
        <v>4184.9500000000007</v>
      </c>
      <c r="AO424" s="217">
        <f t="shared" si="74"/>
        <v>0.34539521194809358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27067.532341546663</v>
      </c>
      <c r="AA428" s="393"/>
      <c r="AB428" s="393"/>
      <c r="AC428" s="394"/>
      <c r="AD428" s="413"/>
      <c r="AE428" s="412"/>
      <c r="AF428" s="394">
        <f t="shared" si="79"/>
        <v>26967.66</v>
      </c>
      <c r="AG428" s="395"/>
      <c r="AH428" s="396">
        <f t="shared" si="75"/>
        <v>-99.872341546662938</v>
      </c>
      <c r="AI428" s="414">
        <f t="shared" si="77"/>
        <v>-3.689746826066086E-3</v>
      </c>
      <c r="AJ428" s="413"/>
      <c r="AK428" s="393"/>
      <c r="AL428" s="394">
        <f t="shared" si="80"/>
        <v>11741.09</v>
      </c>
      <c r="AM428" s="398"/>
      <c r="AN428" s="396">
        <f t="shared" si="81"/>
        <v>15226.57</v>
      </c>
      <c r="AO428" s="218">
        <f t="shared" si="74"/>
        <v>1.2968617053442226</v>
      </c>
      <c r="AP428" s="722"/>
      <c r="AQ428" s="1131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31597.687685786976</v>
      </c>
      <c r="AA429" s="403"/>
      <c r="AB429" s="403"/>
      <c r="AC429" s="87"/>
      <c r="AD429" s="410"/>
      <c r="AE429" s="409"/>
      <c r="AF429" s="87">
        <f t="shared" si="79"/>
        <v>34398.15</v>
      </c>
      <c r="AG429" s="404"/>
      <c r="AH429" s="405">
        <f t="shared" si="75"/>
        <v>2800.4623142130258</v>
      </c>
      <c r="AI429" s="406">
        <f>IF(Z429=0,0,AH429/Z429)</f>
        <v>8.8628710494936244E-2</v>
      </c>
      <c r="AJ429" s="410"/>
      <c r="AK429" s="403"/>
      <c r="AL429" s="87">
        <f t="shared" si="80"/>
        <v>29131.18</v>
      </c>
      <c r="AM429" s="407"/>
      <c r="AN429" s="405">
        <f t="shared" si="81"/>
        <v>5266.9700000000012</v>
      </c>
      <c r="AO429" s="217">
        <f t="shared" si="74"/>
        <v>0.18080180754778905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16263.51572062565</v>
      </c>
      <c r="AA430" s="403"/>
      <c r="AB430" s="403"/>
      <c r="AC430" s="87"/>
      <c r="AD430" s="410"/>
      <c r="AE430" s="409"/>
      <c r="AF430" s="87">
        <f t="shared" si="79"/>
        <v>14904.210000000001</v>
      </c>
      <c r="AG430" s="404"/>
      <c r="AH430" s="405">
        <f t="shared" si="75"/>
        <v>-1359.305720625649</v>
      </c>
      <c r="AI430" s="406">
        <f t="shared" si="77"/>
        <v>-8.3580066203136863E-2</v>
      </c>
      <c r="AJ430" s="410"/>
      <c r="AK430" s="403"/>
      <c r="AL430" s="87">
        <f>IFERROR(SUMIF($C:$C,$V430,Q:Q),0)</f>
        <v>12249.67</v>
      </c>
      <c r="AM430" s="407"/>
      <c r="AN430" s="405">
        <f t="shared" si="81"/>
        <v>2654.5400000000009</v>
      </c>
      <c r="AO430" s="217">
        <f t="shared" si="74"/>
        <v>0.21670298057008891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3485.0390829912099</v>
      </c>
      <c r="AA431" s="403"/>
      <c r="AB431" s="403"/>
      <c r="AC431" s="87"/>
      <c r="AD431" s="410"/>
      <c r="AE431" s="409"/>
      <c r="AF431" s="87">
        <f t="shared" si="79"/>
        <v>5756.7199999999993</v>
      </c>
      <c r="AG431" s="404"/>
      <c r="AH431" s="405">
        <f t="shared" si="75"/>
        <v>2271.6809170087895</v>
      </c>
      <c r="AI431" s="97">
        <f t="shared" si="77"/>
        <v>0.65183800322233554</v>
      </c>
      <c r="AJ431" s="410"/>
      <c r="AK431" s="403"/>
      <c r="AL431" s="87">
        <f>IFERROR(SUMIF($C:$C,$V431,Q:Q),0)</f>
        <v>3503.11</v>
      </c>
      <c r="AM431" s="407"/>
      <c r="AN431" s="405">
        <f t="shared" si="81"/>
        <v>2253.6099999999992</v>
      </c>
      <c r="AO431" s="218">
        <f t="shared" si="74"/>
        <v>0.64331693837761283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0.38375186687098983</v>
      </c>
      <c r="Y433" s="88"/>
      <c r="Z433" s="90">
        <f>SUM(Z420:Z432)</f>
        <v>184599.90171604912</v>
      </c>
      <c r="AA433" s="89"/>
      <c r="AB433" s="88"/>
      <c r="AC433" s="90"/>
      <c r="AD433" s="91">
        <f>AF433/AF407</f>
        <v>0.33461883242518131</v>
      </c>
      <c r="AE433" s="98"/>
      <c r="AF433" s="90">
        <f>SUM(AF420:AF432)</f>
        <v>196501.61</v>
      </c>
      <c r="AG433" s="99"/>
      <c r="AH433" s="93">
        <f t="shared" si="75"/>
        <v>11901.708283950866</v>
      </c>
      <c r="AI433" s="89">
        <f>AH433/Z433</f>
        <v>6.4472993611112694E-2</v>
      </c>
      <c r="AJ433" s="91">
        <f>IF($AL$407=0,0,AL433/$AL$407)</f>
        <v>0.32591211730820424</v>
      </c>
      <c r="AK433" s="88"/>
      <c r="AL433" s="90">
        <f>SUM(AL420:AL432)</f>
        <v>153586.60999999999</v>
      </c>
      <c r="AM433" s="100"/>
      <c r="AN433" s="93">
        <f t="shared" ref="AN433:AN447" si="82">AF433-AL433</f>
        <v>42915</v>
      </c>
      <c r="AO433" s="401">
        <f>IF(AL433=0,0,AN433/AL433)</f>
        <v>0.27941888944615684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10327.518388041846</v>
      </c>
      <c r="AA434" s="417"/>
      <c r="AB434" s="417"/>
      <c r="AC434" s="243"/>
      <c r="AD434" s="418"/>
      <c r="AE434" s="419"/>
      <c r="AF434" s="243">
        <f t="shared" ref="AF434:AF451" si="84">+SUMIF($C:$C,$V434,L:L)</f>
        <v>14387.91</v>
      </c>
      <c r="AG434" s="418"/>
      <c r="AH434" s="420">
        <f t="shared" si="75"/>
        <v>4060.3916119581536</v>
      </c>
      <c r="AI434" s="421">
        <f t="shared" ref="AI434:AI451" si="85">IF(Z434=0,0,AH434/Z434)</f>
        <v>0.39316237060973425</v>
      </c>
      <c r="AJ434" s="418"/>
      <c r="AK434" s="417"/>
      <c r="AL434" s="243">
        <f t="shared" ref="AL434:AL448" si="86">+SUMIF($C:$C,$V434,Q:Q)</f>
        <v>10623.460000000001</v>
      </c>
      <c r="AM434" s="422"/>
      <c r="AN434" s="420">
        <f t="shared" si="82"/>
        <v>3764.4499999999989</v>
      </c>
      <c r="AO434" s="216">
        <f t="shared" ref="AO434:AO447" si="87">IF(AL434=0,0,AN434/AL434)</f>
        <v>0.35435253674414913</v>
      </c>
      <c r="AP434" s="79"/>
      <c r="AQ434" s="79">
        <f>27466-13078</f>
        <v>14388</v>
      </c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3333.3333333333335</v>
      </c>
      <c r="AA435" s="403"/>
      <c r="AB435" s="403"/>
      <c r="AC435" s="87"/>
      <c r="AD435" s="410"/>
      <c r="AE435" s="409"/>
      <c r="AF435" s="87">
        <f t="shared" si="84"/>
        <v>3510.2200000000003</v>
      </c>
      <c r="AG435" s="404"/>
      <c r="AH435" s="405">
        <f t="shared" si="75"/>
        <v>176.88666666666677</v>
      </c>
      <c r="AI435" s="406">
        <f t="shared" si="85"/>
        <v>5.306600000000003E-2</v>
      </c>
      <c r="AJ435" s="410"/>
      <c r="AK435" s="403"/>
      <c r="AL435" s="87">
        <f t="shared" si="86"/>
        <v>5426.1399999999994</v>
      </c>
      <c r="AM435" s="407"/>
      <c r="AN435" s="405">
        <f t="shared" si="82"/>
        <v>-1915.9199999999992</v>
      </c>
      <c r="AO435" s="217">
        <f t="shared" si="87"/>
        <v>-0.35309077908052489</v>
      </c>
      <c r="AP435" s="79"/>
      <c r="AQ435" s="79">
        <v>3509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20211.333333333332</v>
      </c>
      <c r="AA436" s="393"/>
      <c r="AB436" s="393"/>
      <c r="AC436" s="394"/>
      <c r="AD436" s="413"/>
      <c r="AE436" s="412"/>
      <c r="AF436" s="394">
        <f t="shared" si="84"/>
        <v>20725.350000000002</v>
      </c>
      <c r="AG436" s="395"/>
      <c r="AH436" s="396">
        <f t="shared" si="75"/>
        <v>514.01666666667006</v>
      </c>
      <c r="AI436" s="414">
        <f t="shared" si="85"/>
        <v>2.5432100801530664E-2</v>
      </c>
      <c r="AJ436" s="413"/>
      <c r="AK436" s="393"/>
      <c r="AL436" s="394">
        <f t="shared" si="86"/>
        <v>15447.35999999999</v>
      </c>
      <c r="AM436" s="398"/>
      <c r="AN436" s="396">
        <f t="shared" si="82"/>
        <v>5277.9900000000125</v>
      </c>
      <c r="AO436" s="399">
        <f t="shared" si="87"/>
        <v>0.3416758591759379</v>
      </c>
      <c r="AP436" s="79"/>
      <c r="AQ436" s="1045">
        <v>20725</v>
      </c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14164</v>
      </c>
      <c r="AA437" s="403"/>
      <c r="AB437" s="403"/>
      <c r="AC437" s="87"/>
      <c r="AD437" s="410"/>
      <c r="AE437" s="409"/>
      <c r="AF437" s="87">
        <f t="shared" si="84"/>
        <v>14042.93</v>
      </c>
      <c r="AG437" s="404"/>
      <c r="AH437" s="405">
        <f>AF437-Z437</f>
        <v>-121.06999999999971</v>
      </c>
      <c r="AI437" s="406">
        <f t="shared" si="85"/>
        <v>-8.5477266308952062E-3</v>
      </c>
      <c r="AJ437" s="410"/>
      <c r="AK437" s="403"/>
      <c r="AL437" s="87">
        <f t="shared" si="86"/>
        <v>13374.96</v>
      </c>
      <c r="AM437" s="407"/>
      <c r="AN437" s="405">
        <f t="shared" si="82"/>
        <v>667.97000000000116</v>
      </c>
      <c r="AO437" s="217">
        <f t="shared" si="87"/>
        <v>4.9941831601739463E-2</v>
      </c>
      <c r="AP437" s="1045"/>
      <c r="AQ437" s="1211">
        <f>13543+500</f>
        <v>14043</v>
      </c>
      <c r="AR437" s="1045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1833.3333333333335</v>
      </c>
      <c r="AA438" s="403"/>
      <c r="AB438" s="403"/>
      <c r="AC438" s="87"/>
      <c r="AD438" s="410"/>
      <c r="AE438" s="409"/>
      <c r="AF438" s="87">
        <f t="shared" si="84"/>
        <v>2768.18</v>
      </c>
      <c r="AG438" s="404"/>
      <c r="AH438" s="405">
        <f t="shared" si="75"/>
        <v>934.84666666666635</v>
      </c>
      <c r="AI438" s="406">
        <f t="shared" si="85"/>
        <v>0.50991636363636339</v>
      </c>
      <c r="AJ438" s="410"/>
      <c r="AK438" s="403"/>
      <c r="AL438" s="87">
        <f t="shared" si="86"/>
        <v>3458.79</v>
      </c>
      <c r="AM438" s="407"/>
      <c r="AN438" s="405">
        <f t="shared" si="82"/>
        <v>-690.61000000000013</v>
      </c>
      <c r="AO438" s="217">
        <f t="shared" si="87"/>
        <v>-0.19966809202061997</v>
      </c>
      <c r="AP438" s="1045"/>
      <c r="AQ438" s="1211">
        <v>2768</v>
      </c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11716</v>
      </c>
      <c r="AA439" s="403"/>
      <c r="AB439" s="403"/>
      <c r="AC439" s="87"/>
      <c r="AD439" s="410"/>
      <c r="AE439" s="409"/>
      <c r="AF439" s="87">
        <f t="shared" si="84"/>
        <v>11148.72</v>
      </c>
      <c r="AG439" s="404"/>
      <c r="AH439" s="405">
        <f t="shared" si="75"/>
        <v>-567.28000000000065</v>
      </c>
      <c r="AI439" s="406">
        <f t="shared" si="85"/>
        <v>-4.8419255718675371E-2</v>
      </c>
      <c r="AJ439" s="410"/>
      <c r="AK439" s="403"/>
      <c r="AL439" s="87">
        <f t="shared" si="86"/>
        <v>10883.84</v>
      </c>
      <c r="AM439" s="407"/>
      <c r="AN439" s="405">
        <f t="shared" si="82"/>
        <v>264.8799999999992</v>
      </c>
      <c r="AO439" s="217">
        <f t="shared" si="87"/>
        <v>2.4336998706338864E-2</v>
      </c>
      <c r="AP439" s="79"/>
      <c r="AQ439" s="79">
        <f>12123-974</f>
        <v>11149</v>
      </c>
      <c r="AR439" s="1045" t="s">
        <v>2987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1167.5</v>
      </c>
      <c r="AA441" s="403"/>
      <c r="AB441" s="409"/>
      <c r="AC441" s="87"/>
      <c r="AD441" s="410"/>
      <c r="AE441" s="409"/>
      <c r="AF441" s="87">
        <f t="shared" si="84"/>
        <v>2310.04</v>
      </c>
      <c r="AG441" s="404"/>
      <c r="AH441" s="405">
        <f t="shared" si="75"/>
        <v>1142.54</v>
      </c>
      <c r="AI441" s="406">
        <f t="shared" si="85"/>
        <v>0.9786209850107066</v>
      </c>
      <c r="AJ441" s="410"/>
      <c r="AK441" s="403"/>
      <c r="AL441" s="87">
        <f t="shared" si="86"/>
        <v>-26.47</v>
      </c>
      <c r="AM441" s="407"/>
      <c r="AN441" s="405">
        <f t="shared" si="82"/>
        <v>2336.5099999999998</v>
      </c>
      <c r="AO441" s="217">
        <f t="shared" si="87"/>
        <v>-88.270117113713638</v>
      </c>
      <c r="AP441" s="79"/>
      <c r="AQ441" s="79">
        <f>2425-313+198</f>
        <v>2310</v>
      </c>
      <c r="AR441" s="1045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1060</v>
      </c>
      <c r="AA442" s="403"/>
      <c r="AB442" s="403"/>
      <c r="AC442" s="87"/>
      <c r="AD442" s="410"/>
      <c r="AE442" s="409"/>
      <c r="AF442" s="87">
        <f t="shared" si="84"/>
        <v>2201.96</v>
      </c>
      <c r="AG442" s="404"/>
      <c r="AH442" s="405">
        <f t="shared" si="75"/>
        <v>1141.96</v>
      </c>
      <c r="AI442" s="97">
        <f t="shared" si="85"/>
        <v>1.0773207547169812</v>
      </c>
      <c r="AJ442" s="410"/>
      <c r="AK442" s="403"/>
      <c r="AL442" s="87">
        <f t="shared" si="86"/>
        <v>1182</v>
      </c>
      <c r="AM442" s="407"/>
      <c r="AN442" s="405">
        <f t="shared" si="82"/>
        <v>1019.96</v>
      </c>
      <c r="AO442" s="217">
        <f t="shared" si="87"/>
        <v>0.86291032148900171</v>
      </c>
      <c r="AP442" s="79"/>
      <c r="AQ442" s="79">
        <v>2202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1575</v>
      </c>
      <c r="AA443" s="403"/>
      <c r="AB443" s="403"/>
      <c r="AC443" s="87"/>
      <c r="AD443" s="410"/>
      <c r="AE443" s="409"/>
      <c r="AF443" s="87">
        <f t="shared" si="84"/>
        <v>1427.5500000000002</v>
      </c>
      <c r="AG443" s="404"/>
      <c r="AH443" s="405">
        <f t="shared" si="75"/>
        <v>-147.44999999999982</v>
      </c>
      <c r="AI443" s="406">
        <f t="shared" si="85"/>
        <v>-9.3619047619047505E-2</v>
      </c>
      <c r="AJ443" s="410"/>
      <c r="AK443" s="403"/>
      <c r="AL443" s="87">
        <f t="shared" si="86"/>
        <v>1207.31</v>
      </c>
      <c r="AM443" s="407"/>
      <c r="AN443" s="405">
        <f t="shared" si="82"/>
        <v>220.24000000000024</v>
      </c>
      <c r="AO443" s="217">
        <f t="shared" si="87"/>
        <v>0.18242207883642167</v>
      </c>
      <c r="AP443" s="79"/>
      <c r="AQ443" s="79">
        <v>1428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456.36</v>
      </c>
      <c r="AG444" s="404"/>
      <c r="AH444" s="405">
        <f t="shared" si="75"/>
        <v>-55.639999999999986</v>
      </c>
      <c r="AI444" s="97">
        <f t="shared" si="85"/>
        <v>-0.10867187499999997</v>
      </c>
      <c r="AJ444" s="410"/>
      <c r="AK444" s="403"/>
      <c r="AL444" s="87">
        <f t="shared" si="86"/>
        <v>561.23</v>
      </c>
      <c r="AM444" s="407"/>
      <c r="AN444" s="405">
        <f t="shared" si="82"/>
        <v>-104.87</v>
      </c>
      <c r="AO444" s="217">
        <f t="shared" si="87"/>
        <v>-0.18685743812697111</v>
      </c>
      <c r="AP444" s="79"/>
      <c r="AQ444" s="79">
        <v>456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950</v>
      </c>
      <c r="AA445" s="403"/>
      <c r="AB445" s="403"/>
      <c r="AC445" s="87"/>
      <c r="AD445" s="410"/>
      <c r="AE445" s="409"/>
      <c r="AF445" s="87">
        <f t="shared" si="84"/>
        <v>1409.08</v>
      </c>
      <c r="AG445" s="404"/>
      <c r="AH445" s="405">
        <f t="shared" si="75"/>
        <v>459.07999999999993</v>
      </c>
      <c r="AI445" s="406">
        <f t="shared" si="85"/>
        <v>0.48324210526315781</v>
      </c>
      <c r="AJ445" s="410"/>
      <c r="AK445" s="403"/>
      <c r="AL445" s="87">
        <f t="shared" si="86"/>
        <v>1431.34</v>
      </c>
      <c r="AM445" s="407"/>
      <c r="AN445" s="405">
        <f t="shared" si="82"/>
        <v>-22.259999999999991</v>
      </c>
      <c r="AO445" s="217">
        <f t="shared" si="87"/>
        <v>-1.5551860494361922E-2</v>
      </c>
      <c r="AP445" s="79"/>
      <c r="AQ445" s="79">
        <v>1409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1741.0000000000002</v>
      </c>
      <c r="AA446" s="403"/>
      <c r="AB446" s="409"/>
      <c r="AC446" s="87"/>
      <c r="AD446" s="410"/>
      <c r="AE446" s="409"/>
      <c r="AF446" s="87">
        <f t="shared" si="84"/>
        <v>1516.0000000000002</v>
      </c>
      <c r="AG446" s="404"/>
      <c r="AH446" s="405">
        <f t="shared" si="75"/>
        <v>-225</v>
      </c>
      <c r="AI446" s="97">
        <f t="shared" si="85"/>
        <v>-0.12923607122343478</v>
      </c>
      <c r="AJ446" s="410"/>
      <c r="AK446" s="403"/>
      <c r="AL446" s="87">
        <f t="shared" si="86"/>
        <v>1851</v>
      </c>
      <c r="AM446" s="407"/>
      <c r="AN446" s="405">
        <f t="shared" si="82"/>
        <v>-334.99999999999977</v>
      </c>
      <c r="AO446" s="217">
        <f t="shared" si="87"/>
        <v>-0.18098325229605605</v>
      </c>
      <c r="AP446" s="79"/>
      <c r="AQ446" s="79">
        <v>1516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2582.3544666666662</v>
      </c>
      <c r="AA447" s="403"/>
      <c r="AB447" s="409"/>
      <c r="AC447" s="87"/>
      <c r="AD447" s="410"/>
      <c r="AE447" s="409"/>
      <c r="AF447" s="87">
        <f t="shared" si="84"/>
        <v>2545.87</v>
      </c>
      <c r="AG447" s="404"/>
      <c r="AH447" s="405">
        <f t="shared" si="75"/>
        <v>-36.484466666666322</v>
      </c>
      <c r="AI447" s="406">
        <f t="shared" si="85"/>
        <v>-1.4128372823178262E-2</v>
      </c>
      <c r="AJ447" s="410"/>
      <c r="AK447" s="403"/>
      <c r="AL447" s="87">
        <f t="shared" si="86"/>
        <v>877.86</v>
      </c>
      <c r="AM447" s="407"/>
      <c r="AN447" s="405">
        <f t="shared" si="82"/>
        <v>1668.0099999999998</v>
      </c>
      <c r="AO447" s="217">
        <f t="shared" si="87"/>
        <v>1.9000865741690016</v>
      </c>
      <c r="AP447" s="79"/>
      <c r="AQ447" s="79">
        <f>1046+500+1000</f>
        <v>2546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1.6499999999999996E-3</v>
      </c>
      <c r="Z448" s="87">
        <f t="shared" si="83"/>
        <v>9074.2156600810195</v>
      </c>
      <c r="AA448" s="403"/>
      <c r="AB448" s="409"/>
      <c r="AC448" s="87"/>
      <c r="AD448" s="410"/>
      <c r="AE448" s="409"/>
      <c r="AF448" s="87">
        <f t="shared" si="84"/>
        <v>9946.43</v>
      </c>
      <c r="AG448" s="404"/>
      <c r="AH448" s="405">
        <f t="shared" si="75"/>
        <v>872.21433991898084</v>
      </c>
      <c r="AI448" s="406">
        <f t="shared" si="85"/>
        <v>9.6120080521779575E-2</v>
      </c>
      <c r="AJ448" s="410"/>
      <c r="AK448" s="403"/>
      <c r="AL448" s="87">
        <f t="shared" si="86"/>
        <v>9751.2200000000012</v>
      </c>
      <c r="AM448" s="407"/>
      <c r="AN448" s="405">
        <f>AF448-AL448</f>
        <v>195.20999999999913</v>
      </c>
      <c r="AO448" s="217">
        <f>IF(AL448=0,0,AN448/AL448)</f>
        <v>2.0019033515806136E-2</v>
      </c>
      <c r="AP448" s="79"/>
      <c r="AQ448" s="79">
        <f>10946-1000</f>
        <v>9946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0.16682111755300111</v>
      </c>
      <c r="Y452" s="88"/>
      <c r="Z452" s="90">
        <f>+SUM(Z434:Z451)</f>
        <v>80247.588514789531</v>
      </c>
      <c r="AA452" s="89"/>
      <c r="AB452" s="88"/>
      <c r="AC452" s="90"/>
      <c r="AD452" s="91">
        <f>AF452/AF407</f>
        <v>0.15052887903745821</v>
      </c>
      <c r="AE452" s="88"/>
      <c r="AF452" s="90">
        <f>+SUM(AF434:AF451)</f>
        <v>88396.6</v>
      </c>
      <c r="AG452" s="99"/>
      <c r="AH452" s="93">
        <f>+SUM(AH434:AH451)</f>
        <v>8149.0114852104707</v>
      </c>
      <c r="AI452" s="89">
        <f>AH452/Z452</f>
        <v>0.10154836595131601</v>
      </c>
      <c r="AJ452" s="91">
        <f>IF($AL$407=0,0,AL452/$AL$407)</f>
        <v>0.16137884388341939</v>
      </c>
      <c r="AK452" s="89"/>
      <c r="AL452" s="90">
        <f>+SUM(AL434:AL451)</f>
        <v>76050.039999999979</v>
      </c>
      <c r="AM452" s="100"/>
      <c r="AN452" s="93">
        <f>+SUM(AN434:AN451)</f>
        <v>12346.560000000012</v>
      </c>
      <c r="AO452" s="558">
        <f>IF(AL452=0,0,AN452/AL452)</f>
        <v>0.16234784360402724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2024'!$A$2:$AO$501,MATCH($A453,'Réel 2024'!$A$2:$A$501,0),MATCH(F$2,'Réel 2024'!$A$2:$AO$2,0))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5933.07</v>
      </c>
      <c r="AA454" s="403"/>
      <c r="AB454" s="409"/>
      <c r="AC454" s="87"/>
      <c r="AD454" s="410"/>
      <c r="AE454" s="409"/>
      <c r="AF454" s="87">
        <f>SUMIFS(BV_Data_An_Cour!$O:$O,BV_Data_An_Cour!$V:$V,$V454)</f>
        <v>6163.5</v>
      </c>
      <c r="AG454" s="404"/>
      <c r="AH454" s="405">
        <f t="shared" si="88"/>
        <v>230.43000000000029</v>
      </c>
      <c r="AI454" s="406">
        <f t="shared" si="89"/>
        <v>3.883824057359854E-2</v>
      </c>
      <c r="AJ454" s="410"/>
      <c r="AK454" s="403"/>
      <c r="AL454" s="87">
        <f>+INDEX('Réel 2024'!$A$2:$AO$501,MATCH($A454,'Réel 2024'!$A$2:$A$501,0),MATCH(F$2,'Réel 2024'!$A$2:$AO$2,0))</f>
        <v>5872.14</v>
      </c>
      <c r="AM454" s="407"/>
      <c r="AN454" s="405">
        <f t="shared" ref="AN454:AN461" si="91">AF454-AL454</f>
        <v>291.35999999999967</v>
      </c>
      <c r="AO454" s="217">
        <f t="shared" si="90"/>
        <v>4.9617345635492284E-2</v>
      </c>
      <c r="AP454" s="79"/>
      <c r="AQ454" s="779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2542.75</v>
      </c>
      <c r="AA455" s="393"/>
      <c r="AB455" s="412"/>
      <c r="AC455" s="394"/>
      <c r="AD455" s="413"/>
      <c r="AE455" s="412"/>
      <c r="AF455" s="394">
        <f>SUMIFS(BV_Data_An_Cour!$O:$O,BV_Data_An_Cour!$V:$V,$V455)</f>
        <v>2641.5</v>
      </c>
      <c r="AG455" s="395"/>
      <c r="AH455" s="396">
        <f t="shared" si="88"/>
        <v>98.75</v>
      </c>
      <c r="AI455" s="414">
        <f t="shared" si="89"/>
        <v>3.8835906007275586E-2</v>
      </c>
      <c r="AJ455" s="413"/>
      <c r="AK455" s="393"/>
      <c r="AL455" s="394">
        <f>+INDEX('Réel 2024'!$A$2:$AO$501,MATCH($A455,'Réel 2024'!$A$2:$A$501,0),MATCH(F$2,'Réel 2024'!$A$2:$AO$2,0))</f>
        <v>2516.63</v>
      </c>
      <c r="AM455" s="398"/>
      <c r="AN455" s="396">
        <f t="shared" si="91"/>
        <v>124.86999999999989</v>
      </c>
      <c r="AO455" s="399">
        <f t="shared" si="90"/>
        <v>4.9617941453451594E-2</v>
      </c>
      <c r="AP455" s="79"/>
      <c r="AQ455" s="779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2024'!$A$2:$AO$501,MATCH($A456,'Réel 2024'!$A$2:$A$501,0),MATCH(F$2,'Réel 2024'!$A$2:$AO$2,0))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4854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4853.83</v>
      </c>
      <c r="AG457" s="395"/>
      <c r="AH457" s="396">
        <f t="shared" si="88"/>
        <v>-0.17000000000007276</v>
      </c>
      <c r="AI457" s="414">
        <f t="shared" si="89"/>
        <v>-3.5022661722305881E-5</v>
      </c>
      <c r="AJ457" s="413"/>
      <c r="AK457" s="393"/>
      <c r="AL457" s="394">
        <f>+INDEX('Réel 2024'!$A$2:$AO$501,MATCH($A457,'Réel 2024'!$A$2:$A$501,0),MATCH(F$2,'Réel 2024'!$A$2:$AO$2,0))</f>
        <v>4349.75</v>
      </c>
      <c r="AM457" s="398"/>
      <c r="AN457" s="396">
        <f t="shared" si="91"/>
        <v>504.07999999999993</v>
      </c>
      <c r="AO457" s="399">
        <f t="shared" si="90"/>
        <v>0.11588711994942236</v>
      </c>
      <c r="AP457" s="79"/>
      <c r="AQ457" s="779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5000</v>
      </c>
      <c r="AA458" s="249"/>
      <c r="AB458" s="242"/>
      <c r="AC458" s="87"/>
      <c r="AD458" s="410"/>
      <c r="AE458" s="409"/>
      <c r="AF458" s="87">
        <f>SUMIFS(BV_Data_An_Cour!$O:$O,BV_Data_An_Cour!$V:$V,$V458)</f>
        <v>6454.11</v>
      </c>
      <c r="AG458" s="404"/>
      <c r="AH458" s="405">
        <f t="shared" si="88"/>
        <v>1454.1099999999997</v>
      </c>
      <c r="AI458" s="406">
        <f t="shared" si="89"/>
        <v>0.29082199999999991</v>
      </c>
      <c r="AJ458" s="410"/>
      <c r="AK458" s="403"/>
      <c r="AL458" s="87">
        <f>+INDEX('Réel 2024'!$A$2:$AO$501,MATCH($A458,'Réel 2024'!$A$2:$A$501,0),MATCH(F$2,'Réel 2024'!$A$2:$AO$2,0))</f>
        <v>5652.17</v>
      </c>
      <c r="AM458" s="407"/>
      <c r="AN458" s="405">
        <f t="shared" si="91"/>
        <v>801.9399999999996</v>
      </c>
      <c r="AO458" s="217">
        <f t="shared" si="90"/>
        <v>0.14188179053354721</v>
      </c>
      <c r="AP458" s="79"/>
      <c r="AQ458" s="79">
        <v>6454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6541.333333333333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8"/>
        <v>-234.00333333333219</v>
      </c>
      <c r="AI459" s="406">
        <f t="shared" si="89"/>
        <v>-3.5773033020790698E-2</v>
      </c>
      <c r="AJ459" s="410"/>
      <c r="AK459" s="403"/>
      <c r="AL459" s="87">
        <f>+INDEX('Réel 2024'!$A$2:$AO$501,MATCH($A459,'Réel 2024'!$A$2:$A$501,0),MATCH(F$2,'Réel 2024'!$A$2:$AO$2,0))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433.33333333333331</v>
      </c>
      <c r="AA460" s="393"/>
      <c r="AB460" s="412"/>
      <c r="AC460" s="394"/>
      <c r="AD460" s="413"/>
      <c r="AE460" s="412"/>
      <c r="AF460" s="394">
        <f>SUMIFS(BV_Data_An_Cour!$O:$O,BV_Data_An_Cour!$V:$V,$V460)</f>
        <v>2791.9</v>
      </c>
      <c r="AG460" s="395"/>
      <c r="AH460" s="396">
        <f t="shared" si="88"/>
        <v>2358.5666666666666</v>
      </c>
      <c r="AI460" s="414">
        <f t="shared" si="89"/>
        <v>5.4428461538461539</v>
      </c>
      <c r="AJ460" s="413"/>
      <c r="AK460" s="393"/>
      <c r="AL460" s="394">
        <f>+INDEX('Réel 2024'!$A$2:$AO$501,MATCH($A460,'Réel 2024'!$A$2:$A$501,0),MATCH(F$2,'Réel 2024'!$A$2:$AO$2,0))</f>
        <v>717.06</v>
      </c>
      <c r="AM460" s="398"/>
      <c r="AN460" s="396">
        <f t="shared" si="91"/>
        <v>2074.84</v>
      </c>
      <c r="AO460" s="399">
        <f t="shared" si="90"/>
        <v>2.8935375003486463</v>
      </c>
      <c r="AP460" s="79"/>
      <c r="AQ460" s="79">
        <f>2705-1200+974+313</f>
        <v>2792</v>
      </c>
      <c r="AR460" s="101" t="s">
        <v>2991</v>
      </c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212.00000000000003</v>
      </c>
      <c r="AA461" s="403"/>
      <c r="AB461" s="409"/>
      <c r="AC461" s="87"/>
      <c r="AD461" s="410"/>
      <c r="AE461" s="409"/>
      <c r="AF461" s="87">
        <f>SUMIFS(BV_Data_An_Cour!$O:$O,BV_Data_An_Cour!$V:$V,$V461)</f>
        <v>173.96</v>
      </c>
      <c r="AG461" s="404"/>
      <c r="AH461" s="405">
        <f t="shared" si="88"/>
        <v>-38.04000000000002</v>
      </c>
      <c r="AI461" s="423">
        <f t="shared" si="89"/>
        <v>-0.17943396226415101</v>
      </c>
      <c r="AJ461" s="403"/>
      <c r="AK461" s="403"/>
      <c r="AL461" s="87">
        <f>+INDEX('Réel 2024'!$A$2:$AO$501,MATCH($A461,'Réel 2024'!$A$2:$A$501,0),MATCH(F$2,'Réel 2024'!$A$2:$AO$2,0))</f>
        <v>173.95999999999901</v>
      </c>
      <c r="AM461" s="407"/>
      <c r="AN461" s="405">
        <f t="shared" si="91"/>
        <v>9.9475983006414026E-13</v>
      </c>
      <c r="AO461" s="217">
        <f t="shared" si="90"/>
        <v>5.7183250750985627E-15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2024'!$A$2:$AO$501,MATCH($A462,'Réel 2024'!$A$2:$A$501,0),MATCH(F$2,'Réel 2024'!$A$2:$AO$2,0))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0.15698595973495069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0.13518512205245373</v>
      </c>
      <c r="AE466" s="88"/>
      <c r="AF466" s="90">
        <f>SUM(AF453:AF465)</f>
        <v>79386.13</v>
      </c>
      <c r="AG466" s="99"/>
      <c r="AH466" s="93">
        <f>SUM(AH453:AH465)</f>
        <v>3869.6433333333343</v>
      </c>
      <c r="AI466" s="89">
        <f>IF(Z466=0,0,AH466/Z466)</f>
        <v>5.1242364470875379E-2</v>
      </c>
      <c r="AJ466" s="91">
        <f>IF($AL$407=0,0,AL466/$AL$407)</f>
        <v>0.16040059788867364</v>
      </c>
      <c r="AK466" s="89"/>
      <c r="AL466" s="90">
        <f>SUM(AL453:AL465)</f>
        <v>75589.039999999994</v>
      </c>
      <c r="AM466" s="100"/>
      <c r="AN466" s="93">
        <f>SUM(AN453:AN465)</f>
        <v>3797.09</v>
      </c>
      <c r="AO466" s="558">
        <f t="shared" ref="AO466:AO483" si="92">IF(AL466=0,0,AN466/AL466)</f>
        <v>5.0233340706536296E-2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1.0151232970558672</v>
      </c>
      <c r="Y468" s="88"/>
      <c r="Z468" s="90">
        <f>Z419+Z433+Z452+Z466</f>
        <v>488314.6560149045</v>
      </c>
      <c r="AA468" s="89"/>
      <c r="AB468" s="88"/>
      <c r="AC468" s="90"/>
      <c r="AD468" s="91">
        <f>AF468/AF407</f>
        <v>0.87254003106803968</v>
      </c>
      <c r="AE468" s="88"/>
      <c r="AF468" s="90">
        <f>AF419+AF433+AF452+AF466</f>
        <v>512390.52999999991</v>
      </c>
      <c r="AG468" s="99"/>
      <c r="AH468" s="93">
        <f t="shared" si="93"/>
        <v>24075.873985095415</v>
      </c>
      <c r="AI468" s="89">
        <f>AH468/Z468</f>
        <v>4.9304016761603328E-2</v>
      </c>
      <c r="AJ468" s="91">
        <f>IF($AL$407=0,0,AL468/$AL$407)</f>
        <v>0.99369642471884667</v>
      </c>
      <c r="AK468" s="89"/>
      <c r="AL468" s="90">
        <f>AL419+AL433+AL452+AL466</f>
        <v>468281.03999999992</v>
      </c>
      <c r="AM468" s="100"/>
      <c r="AN468" s="93">
        <f t="shared" si="94"/>
        <v>44109.489999999991</v>
      </c>
      <c r="AO468" s="401">
        <f t="shared" si="92"/>
        <v>9.419448201447575E-2</v>
      </c>
      <c r="AP468" s="101">
        <f>AF468-AF415</f>
        <v>483413.58999999991</v>
      </c>
      <c r="AQ468" s="79" t="s">
        <v>2359</v>
      </c>
      <c r="AR468" s="79">
        <v>450159</v>
      </c>
      <c r="AS468" s="101">
        <f>AP468-AR468</f>
        <v>33254.589999999909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0</v>
      </c>
      <c r="AA469" s="244"/>
      <c r="AB469" s="245"/>
      <c r="AC469" s="243"/>
      <c r="AD469" s="247"/>
      <c r="AE469" s="245"/>
      <c r="AF469" s="87">
        <f>-SUMIFS(BV_Data_An_Cour!$O:$O,BV_Data_An_Cour!$V:$V,$V469)</f>
        <v>-3.14</v>
      </c>
      <c r="AG469" s="246"/>
      <c r="AH469" s="405">
        <f t="shared" si="93"/>
        <v>-3.14</v>
      </c>
      <c r="AI469" s="423" t="e">
        <f>IF(AH469=0,0,AH469/Z469)</f>
        <v>#DIV/0!</v>
      </c>
      <c r="AJ469" s="247"/>
      <c r="AK469" s="244"/>
      <c r="AL469" s="426">
        <f>+INDEX('Réel 2024'!$A$2:$AO$501,MATCH($A469,'Réel 2024'!$A$2:$A$501,0),MATCH(F$2,'Réel 2024'!$A$2:$AO$2,0))</f>
        <v>1898.24</v>
      </c>
      <c r="AM469" s="248"/>
      <c r="AN469" s="405">
        <f t="shared" si="94"/>
        <v>-1901.38</v>
      </c>
      <c r="AO469" s="217">
        <f t="shared" si="92"/>
        <v>-1.0016541638570466</v>
      </c>
      <c r="AP469" s="79"/>
      <c r="AQ469" s="79">
        <v>-3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>+SUMIF($C:$C,$V470,F:F)</f>
        <v>56473.012800000004</v>
      </c>
      <c r="AA470" s="249"/>
      <c r="AB470" s="242"/>
      <c r="AC470" s="87"/>
      <c r="AD470" s="251"/>
      <c r="AE470" s="242"/>
      <c r="AF470" s="87">
        <f t="shared" ref="AF470:AF476" si="95">+SUMIF($C:$C,$V470,L:L)</f>
        <v>52973</v>
      </c>
      <c r="AG470" s="250"/>
      <c r="AH470" s="405">
        <f t="shared" si="93"/>
        <v>-3500.0128000000041</v>
      </c>
      <c r="AI470" s="97">
        <f>IF(Z470=0,0,AH470/Z470)</f>
        <v>-6.1976732362329423E-2</v>
      </c>
      <c r="AJ470" s="251"/>
      <c r="AK470" s="249"/>
      <c r="AL470" s="252">
        <f>+SUMIF($C:$C,$V470,Q:Q)</f>
        <v>47079</v>
      </c>
      <c r="AM470" s="253"/>
      <c r="AN470" s="405">
        <f t="shared" si="94"/>
        <v>5894</v>
      </c>
      <c r="AO470" s="217">
        <f t="shared" si="92"/>
        <v>0.12519382314832517</v>
      </c>
      <c r="AP470" s="79"/>
      <c r="AQ470" s="79">
        <v>52973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>+INDEX('Budget original'!$A$2:$AO$501,MATCH($A471,'Budget original'!$A$2:$A$501,0),MATCH(F$2,'Budget original'!$A$2:$AO$2,0))</f>
        <v>52237.536840000001</v>
      </c>
      <c r="AA471" s="249"/>
      <c r="AB471" s="242"/>
      <c r="AC471" s="87"/>
      <c r="AD471" s="251"/>
      <c r="AE471" s="242"/>
      <c r="AF471" s="87">
        <f t="shared" si="95"/>
        <v>43701.85</v>
      </c>
      <c r="AG471" s="250"/>
      <c r="AH471" s="405">
        <f t="shared" si="93"/>
        <v>-8535.6868400000021</v>
      </c>
      <c r="AI471" s="97">
        <f t="shared" ref="AI471:AI480" si="96">IF(AH471=0,0,AH471/Z471)</f>
        <v>-0.16340140359497093</v>
      </c>
      <c r="AJ471" s="251"/>
      <c r="AK471" s="249"/>
      <c r="AL471" s="252">
        <f>+INDEX('Réel 2024'!$A$2:$AO$501,MATCH($A471,'Réel 2024'!$A$2:$A$501,0),MATCH(F$2,'Réel 2024'!$A$2:$AO$2,0))</f>
        <v>56342.42</v>
      </c>
      <c r="AM471" s="253"/>
      <c r="AN471" s="405">
        <f t="shared" si="94"/>
        <v>-12640.57</v>
      </c>
      <c r="AO471" s="217">
        <f t="shared" si="92"/>
        <v>-0.22435262809087717</v>
      </c>
      <c r="AP471" s="79"/>
      <c r="AQ471" s="79">
        <v>43702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>+SUMIF($C:$C,$V472,F:F)</f>
        <v>0</v>
      </c>
      <c r="AA472" s="249"/>
      <c r="AB472" s="242"/>
      <c r="AC472" s="87"/>
      <c r="AD472" s="251"/>
      <c r="AE472" s="242"/>
      <c r="AF472" s="87">
        <f t="shared" si="95"/>
        <v>0</v>
      </c>
      <c r="AG472" s="250"/>
      <c r="AH472" s="405">
        <f t="shared" si="93"/>
        <v>0</v>
      </c>
      <c r="AI472" s="97">
        <f t="shared" si="96"/>
        <v>0</v>
      </c>
      <c r="AJ472" s="251"/>
      <c r="AK472" s="249"/>
      <c r="AL472" s="252">
        <f>+SUMIF($C:$C,$V472,Q:Q)</f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>+SUMIF($C:$C,$V473,F:F)</f>
        <v>0</v>
      </c>
      <c r="AA473" s="249"/>
      <c r="AB473" s="242"/>
      <c r="AC473" s="87"/>
      <c r="AD473" s="251"/>
      <c r="AE473" s="242"/>
      <c r="AF473" s="87">
        <f t="shared" si="95"/>
        <v>0</v>
      </c>
      <c r="AG473" s="250"/>
      <c r="AH473" s="405">
        <f t="shared" si="93"/>
        <v>0</v>
      </c>
      <c r="AI473" s="97">
        <f t="shared" si="96"/>
        <v>0</v>
      </c>
      <c r="AJ473" s="251"/>
      <c r="AK473" s="249"/>
      <c r="AL473" s="252">
        <f>+SUMIF($C:$C,$V473,Q:Q)</f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>+INDEX('Budget original'!$A$2:$AO$501,MATCH($A474,'Budget original'!$A$2:$A$501,0),MATCH(F$2,'Budget original'!$A$2:$AO$2,0))</f>
        <v>3375</v>
      </c>
      <c r="AA474" s="249"/>
      <c r="AB474" s="242"/>
      <c r="AC474" s="87"/>
      <c r="AD474" s="251"/>
      <c r="AE474" s="242"/>
      <c r="AF474" s="87">
        <f t="shared" si="95"/>
        <v>3000</v>
      </c>
      <c r="AG474" s="250"/>
      <c r="AH474" s="405">
        <f t="shared" si="93"/>
        <v>-375</v>
      </c>
      <c r="AI474" s="97">
        <f t="shared" si="96"/>
        <v>-0.1111111111111111</v>
      </c>
      <c r="AJ474" s="251"/>
      <c r="AK474" s="249"/>
      <c r="AL474" s="252">
        <f>+INDEX('Réel 2024'!$A$2:$AO$501,MATCH($A474,'Réel 2024'!$A$2:$A$501,0),MATCH(F$2,'Réel 2024'!$A$2:$AO$2,0))</f>
        <v>2625</v>
      </c>
      <c r="AM474" s="253"/>
      <c r="AN474" s="405">
        <f t="shared" ref="AN474:AN483" si="97">AF474-AL474</f>
        <v>375</v>
      </c>
      <c r="AO474" s="217">
        <f t="shared" si="92"/>
        <v>0.14285714285714285</v>
      </c>
      <c r="AP474" s="79"/>
      <c r="AQ474" s="79">
        <v>3000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>+SUMIF($C:$C,$V475,F:F)</f>
        <v>1206</v>
      </c>
      <c r="AA475" s="249"/>
      <c r="AB475" s="242"/>
      <c r="AC475" s="87"/>
      <c r="AD475" s="251"/>
      <c r="AE475" s="242"/>
      <c r="AF475" s="87">
        <f t="shared" si="95"/>
        <v>-2050</v>
      </c>
      <c r="AG475" s="250"/>
      <c r="AH475" s="405">
        <f t="shared" si="93"/>
        <v>-3256</v>
      </c>
      <c r="AI475" s="97">
        <f t="shared" si="96"/>
        <v>-2.6998341625207298</v>
      </c>
      <c r="AJ475" s="251"/>
      <c r="AK475" s="249"/>
      <c r="AL475" s="252">
        <f>+SUMIF($C:$C,$V475,Q:Q)</f>
        <v>0</v>
      </c>
      <c r="AM475" s="253"/>
      <c r="AN475" s="405">
        <f t="shared" si="97"/>
        <v>-2050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>+SUMIF($C:$C,$V476,F:F)</f>
        <v>0</v>
      </c>
      <c r="AA476" s="249"/>
      <c r="AB476" s="242"/>
      <c r="AC476" s="87"/>
      <c r="AD476" s="251"/>
      <c r="AE476" s="242"/>
      <c r="AF476" s="87">
        <f t="shared" si="95"/>
        <v>0</v>
      </c>
      <c r="AG476" s="250"/>
      <c r="AH476" s="405">
        <f t="shared" si="93"/>
        <v>0</v>
      </c>
      <c r="AI476" s="97">
        <f t="shared" si="96"/>
        <v>0</v>
      </c>
      <c r="AJ476" s="251"/>
      <c r="AK476" s="249"/>
      <c r="AL476" s="252">
        <f>+SUMIF($C:$C,$V476,Q:Q)</f>
        <v>0</v>
      </c>
      <c r="AM476" s="253"/>
      <c r="AN476" s="405">
        <f t="shared" si="97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29648.331720000002</v>
      </c>
      <c r="AA477" s="249"/>
      <c r="AB477" s="242"/>
      <c r="AC477" s="87"/>
      <c r="AD477" s="251"/>
      <c r="AE477" s="242"/>
      <c r="AF477" s="87">
        <f>-SUMIFS(BV_Data_An_Cour!$O:$O,BV_Data_An_Cour!$V:$V,$V477)</f>
        <v>25984.97</v>
      </c>
      <c r="AG477" s="250"/>
      <c r="AH477" s="405">
        <f t="shared" si="93"/>
        <v>-3663.3617200000008</v>
      </c>
      <c r="AI477" s="97">
        <f t="shared" si="96"/>
        <v>-0.12356046723292667</v>
      </c>
      <c r="AJ477" s="251"/>
      <c r="AK477" s="249"/>
      <c r="AL477" s="252">
        <f>+INDEX('Réel 2024'!$A$2:$AO$501,MATCH($A477,'Réel 2024'!$A$2:$A$501,0),MATCH(F$2,'Réel 2024'!$A$2:$AO$2,0))</f>
        <v>25721.54</v>
      </c>
      <c r="AM477" s="253"/>
      <c r="AN477" s="405">
        <f t="shared" si="97"/>
        <v>263.43000000000029</v>
      </c>
      <c r="AO477" s="217">
        <f t="shared" si="92"/>
        <v>1.0241610727818019E-2</v>
      </c>
      <c r="AP477" s="79"/>
      <c r="AQ477" s="79">
        <v>25985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6"/>
        <v>0</v>
      </c>
      <c r="AJ478" s="410"/>
      <c r="AK478" s="403"/>
      <c r="AL478" s="87">
        <f>+SUMIF($C:$C,$V478,Q:Q)</f>
        <v>0</v>
      </c>
      <c r="AM478" s="253"/>
      <c r="AN478" s="405">
        <f t="shared" si="97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6"/>
        <v>0</v>
      </c>
      <c r="AJ479" s="410"/>
      <c r="AK479" s="403"/>
      <c r="AL479" s="87">
        <f>+SUMIF($C:$C,$V479,Q:Q)</f>
        <v>0</v>
      </c>
      <c r="AM479" s="253"/>
      <c r="AN479" s="405">
        <f t="shared" si="97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32088.35</v>
      </c>
      <c r="AA480" s="249"/>
      <c r="AB480" s="242"/>
      <c r="AC480" s="87"/>
      <c r="AD480" s="251"/>
      <c r="AE480" s="242"/>
      <c r="AF480" s="87">
        <f>+SUMIF($C:$C,$V480,L:L)</f>
        <v>29750</v>
      </c>
      <c r="AG480" s="250"/>
      <c r="AH480" s="405">
        <f t="shared" si="93"/>
        <v>-2338.3499999999985</v>
      </c>
      <c r="AI480" s="97">
        <f t="shared" si="96"/>
        <v>-7.2872241794919301E-2</v>
      </c>
      <c r="AJ480" s="251"/>
      <c r="AK480" s="249"/>
      <c r="AL480" s="252">
        <f>+INDEX('Réel 2024'!$A$2:$AO$501,MATCH($A480,'Réel 2024'!$A$2:$A$501,0),MATCH(F$2,'Réel 2024'!$A$2:$AO$2,0))</f>
        <v>30940</v>
      </c>
      <c r="AM480" s="253"/>
      <c r="AN480" s="405">
        <f t="shared" si="97"/>
        <v>-1190</v>
      </c>
      <c r="AO480" s="217">
        <f t="shared" si="92"/>
        <v>-3.8461538461538464E-2</v>
      </c>
      <c r="AP480" s="79"/>
      <c r="AQ480" s="79">
        <v>29750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0.36385398862695056</v>
      </c>
      <c r="Y481" s="103"/>
      <c r="Z481" s="90">
        <f>SUM(Z469:Z480)</f>
        <v>175028.23136000001</v>
      </c>
      <c r="AA481" s="89"/>
      <c r="AB481" s="103"/>
      <c r="AC481" s="90"/>
      <c r="AD481" s="89">
        <f>AF481/+AF407</f>
        <v>0.26114815652758344</v>
      </c>
      <c r="AE481" s="103"/>
      <c r="AF481" s="90">
        <f>SUM(AF469:AF480)</f>
        <v>153356.68</v>
      </c>
      <c r="AG481" s="99"/>
      <c r="AH481" s="93">
        <f t="shared" si="93"/>
        <v>-21671.551360000012</v>
      </c>
      <c r="AI481" s="89">
        <f>AH481/Z481</f>
        <v>-0.12381746185520053</v>
      </c>
      <c r="AJ481" s="109"/>
      <c r="AK481" s="110"/>
      <c r="AL481" s="90">
        <f>SUM(AL469:AL480)</f>
        <v>164606.20000000001</v>
      </c>
      <c r="AM481" s="111"/>
      <c r="AN481" s="93">
        <f t="shared" si="97"/>
        <v>-11249.520000000019</v>
      </c>
      <c r="AO481" s="558">
        <f t="shared" si="92"/>
        <v>-6.8342018708894434E-2</v>
      </c>
      <c r="AP481" s="79"/>
      <c r="AQ481" s="79" t="s">
        <v>2359</v>
      </c>
      <c r="AR481" s="79">
        <v>158000</v>
      </c>
      <c r="AS481" s="101">
        <f>AF481-AR481</f>
        <v>-4643.320000000007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7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3.0503240779155991E-2</v>
      </c>
      <c r="Z483" s="433">
        <f>Z407-Z468+Z481</f>
        <v>167753.32434026626</v>
      </c>
      <c r="AA483" s="431"/>
      <c r="AB483" s="432"/>
      <c r="AC483" s="433"/>
      <c r="AD483" s="431" t="s">
        <v>247</v>
      </c>
      <c r="AE483" s="432">
        <f>AF483/AF406</f>
        <v>4.7699426033284677E-2</v>
      </c>
      <c r="AF483" s="220">
        <f>AF407-AF468+AF481</f>
        <v>228206.28999999998</v>
      </c>
      <c r="AG483" s="434"/>
      <c r="AH483" s="220">
        <f>AF483-Z483</f>
        <v>60452.965659733716</v>
      </c>
      <c r="AI483" s="762">
        <f>AH483/Z483</f>
        <v>0.36036821265677316</v>
      </c>
      <c r="AJ483" s="435" t="s">
        <v>247</v>
      </c>
      <c r="AK483" s="432">
        <f>IF($AL$406=0,0,AL483/$AL$406)</f>
        <v>3.262582872404473E-2</v>
      </c>
      <c r="AL483" s="220">
        <f>AL407-AL468+AL481</f>
        <v>167576.76999999973</v>
      </c>
      <c r="AM483" s="221"/>
      <c r="AN483" s="220">
        <f t="shared" si="97"/>
        <v>60629.520000000251</v>
      </c>
      <c r="AO483" s="436">
        <f t="shared" si="92"/>
        <v>0.36180145971306377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98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Avril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98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3.7176676724772914E-2</v>
      </c>
      <c r="Z488" s="1160">
        <f>Z489+Z415</f>
        <v>204454.04977315394</v>
      </c>
      <c r="AA488" s="1157"/>
      <c r="AB488" s="1158"/>
      <c r="AC488" s="1159"/>
      <c r="AD488" s="1157" t="s">
        <v>247</v>
      </c>
      <c r="AE488" s="1158">
        <f>AF488/AF406</f>
        <v>5.3756153944688558E-2</v>
      </c>
      <c r="AF488" s="1160">
        <f>AF489+AF415</f>
        <v>257183.22999999998</v>
      </c>
      <c r="AG488" s="1161"/>
      <c r="AH488" s="1161">
        <f t="shared" ref="AH488" si="99">AF488-Z488</f>
        <v>52729.180226846045</v>
      </c>
      <c r="AI488" s="1162">
        <f>AH488/Z488</f>
        <v>0.25790235158144426</v>
      </c>
      <c r="AJ488" s="1157" t="s">
        <v>247</v>
      </c>
      <c r="AK488" s="1158">
        <f>IF($AL$406=0,0,AL488/$AL$406)</f>
        <v>4.1314144571049871E-2</v>
      </c>
      <c r="AL488" s="1160">
        <f>AL489+AL415</f>
        <v>212202.75999999972</v>
      </c>
      <c r="AM488" s="1163"/>
      <c r="AN488" s="1160">
        <f t="shared" ref="AN488" si="100">AF488-AL488</f>
        <v>44980.470000000263</v>
      </c>
      <c r="AO488" s="1164">
        <f t="shared" ref="AO488" si="101">IF(AL488=0,0,AN488/AL488)</f>
        <v>0.21196929766606393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98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3.0503240779155991E-2</v>
      </c>
      <c r="Z489" s="441">
        <f>Z483</f>
        <v>167753.32434026626</v>
      </c>
      <c r="AA489" s="439"/>
      <c r="AB489" s="440"/>
      <c r="AC489" s="441"/>
      <c r="AD489" s="439" t="s">
        <v>247</v>
      </c>
      <c r="AE489" s="440">
        <f>AF489/AF406</f>
        <v>4.7699426033284677E-2</v>
      </c>
      <c r="AF489" s="441">
        <f>AF483</f>
        <v>228206.28999999998</v>
      </c>
      <c r="AG489" s="442"/>
      <c r="AH489" s="220">
        <f>AF489-Z489</f>
        <v>60452.965659733716</v>
      </c>
      <c r="AI489" s="762">
        <f>AH489/Z489</f>
        <v>0.36036821265677316</v>
      </c>
      <c r="AJ489" s="439" t="s">
        <v>247</v>
      </c>
      <c r="AK489" s="440">
        <f>IF($AL$406=0,0,AL489/$AL$406)</f>
        <v>3.262582872404473E-2</v>
      </c>
      <c r="AL489" s="443">
        <f>AL483</f>
        <v>167576.76999999973</v>
      </c>
      <c r="AM489" s="444"/>
      <c r="AN489" s="445">
        <f>AF489-AL489</f>
        <v>60629.520000000251</v>
      </c>
      <c r="AO489" s="446">
        <f>IF(AL489=0,0,AN489/AL489)</f>
        <v>0.36180145971306377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98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98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19300</v>
      </c>
      <c r="AA491" s="403"/>
      <c r="AB491" s="409"/>
      <c r="AC491" s="87"/>
      <c r="AD491" s="403"/>
      <c r="AE491" s="409"/>
      <c r="AF491" s="87">
        <f>SUMIFS(BV_Data_An_Cour!$O:$O,BV_Data_An_Cour!$V:$V,$V491)</f>
        <v>19300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2024'!$A$2:$AO$501,MATCH($A491,'Réel 2024'!$A$2:$A$501,0),MATCH(F$2,'Réel 2024'!$A$2:$AO$2,0))</f>
        <v>20970</v>
      </c>
      <c r="AM491" s="407"/>
      <c r="AN491" s="405">
        <f t="shared" ref="AN491:AN498" si="104">AF491-AL491</f>
        <v>-1670</v>
      </c>
      <c r="AO491" s="217">
        <f t="shared" ref="AO491:AO498" si="105">IF(AL491=0,0,AN491/AL491)</f>
        <v>-7.9637577491654746E-2</v>
      </c>
      <c r="AP491" s="79"/>
      <c r="AQ491" s="779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98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2024'!$A$2:$AO$501,MATCH($A492,'Réel 2024'!$A$2:$A$501,0),MATCH(F$2,'Réel 2024'!$A$2:$AO$2,0))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8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2024'!$A$2:$AO$501,MATCH($A493,'Réel 2024'!$A$2:$A$501,0),MATCH(F$2,'Réel 2024'!$A$2:$AO$2,0))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98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2024'!$A$2:$AO$501,MATCH($A494,'Réel 2024'!$A$2:$A$501,0),MATCH(F$2,'Réel 2024'!$A$2:$AO$2,0))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98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/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8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2940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-2547.5409836065573</v>
      </c>
      <c r="AA496" s="403"/>
      <c r="AB496" s="403"/>
      <c r="AC496" s="405"/>
      <c r="AD496" s="410"/>
      <c r="AE496" s="409"/>
      <c r="AF496" s="87">
        <f>SUMIFS(BV_Data_An_Cour!$O:$O,BV_Data_An_Cour!$V:$V,$V496)</f>
        <v>-2547.54</v>
      </c>
      <c r="AG496" s="404"/>
      <c r="AH496" s="405">
        <f t="shared" si="102"/>
        <v>9.8360655738360947E-4</v>
      </c>
      <c r="AI496" s="406">
        <f t="shared" si="103"/>
        <v>-3.8610038610296127E-7</v>
      </c>
      <c r="AJ496" s="410"/>
      <c r="AK496" s="403"/>
      <c r="AL496" s="87">
        <f>+INDEX('Réel 2024'!$A$2:$AO$501,MATCH($A496,'Réel 2024'!$A$2:$A$501,0),MATCH(F$2,'Réel 2024'!$A$2:$AO$2,0))</f>
        <v>-7075.41</v>
      </c>
      <c r="AM496" s="450"/>
      <c r="AN496" s="405">
        <f t="shared" si="104"/>
        <v>4527.87</v>
      </c>
      <c r="AO496" s="217">
        <f t="shared" si="105"/>
        <v>-0.63994454031639159</v>
      </c>
      <c r="AP496" s="79"/>
      <c r="AQ496" s="1179">
        <f>Z496</f>
        <v>-2547.5409836065573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8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/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98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2.7457075863917206E-2</v>
      </c>
      <c r="Z498" s="433">
        <f>Z489-Z491-Z492-Z493-Z497-Z496-Z494-Z495</f>
        <v>151000.86532387283</v>
      </c>
      <c r="AA498" s="431"/>
      <c r="AB498" s="432"/>
      <c r="AC498" s="433"/>
      <c r="AD498" s="431" t="s">
        <v>247</v>
      </c>
      <c r="AE498" s="432">
        <f>AF498/AF406</f>
        <v>4.4197845394795002E-2</v>
      </c>
      <c r="AF498" s="220">
        <f>AF489-AF491-AF492-AF493-AF497-AF496-AF494-AF495</f>
        <v>211453.83</v>
      </c>
      <c r="AG498" s="434"/>
      <c r="AH498" s="220">
        <f t="shared" si="102"/>
        <v>60452.964676127158</v>
      </c>
      <c r="AI498" s="762">
        <f>AH498/Z498</f>
        <v>0.40034846519895873</v>
      </c>
      <c r="AJ498" s="435" t="s">
        <v>247</v>
      </c>
      <c r="AK498" s="432">
        <f>IF($AL$406=0,0,AL498/$AL$406)</f>
        <v>2.9920665511203086E-2</v>
      </c>
      <c r="AL498" s="220">
        <f>AL489-AL491-AL492-AL493-AL497-AL496-AL494-AL495</f>
        <v>153682.17999999973</v>
      </c>
      <c r="AM498" s="221"/>
      <c r="AN498" s="220">
        <f t="shared" si="104"/>
        <v>57771.650000000256</v>
      </c>
      <c r="AO498" s="451">
        <f t="shared" si="105"/>
        <v>0.37591638796378574</v>
      </c>
      <c r="AP498" s="101">
        <f>SUM(AF490:AF497)+AF415</f>
        <v>45729.399999999994</v>
      </c>
      <c r="AQ498" s="79" t="s">
        <v>2359</v>
      </c>
      <c r="AR498" s="79">
        <v>53453</v>
      </c>
      <c r="AS498" s="101">
        <f>AR498-AP498</f>
        <v>7723.6000000000058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48042.559999999998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163411.26999999999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>
        <f>AR407-AR468+AR481-AR498</f>
        <v>213595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AF500/AF498</f>
        <v>0.22720118145885559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2870</v>
      </c>
      <c r="AE505" s="79"/>
      <c r="AF505" s="1199">
        <v>213594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-2140.1700000000128</v>
      </c>
      <c r="AG507" s="79"/>
      <c r="AH507" s="79"/>
      <c r="AI507" s="79"/>
      <c r="AJ507" s="79" t="e">
        <f>AF513/AJ505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2925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2962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2963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2948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211453.83</v>
      </c>
      <c r="AG513" s="101">
        <f>AF513-AF505</f>
        <v>-2140.1700000000128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8.75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8.75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75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96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abSelected="1" topLeftCell="F94" zoomScale="70" zoomScaleNormal="70" workbookViewId="0">
      <selection activeCell="S97" sqref="S97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Avril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39" t="s">
        <v>77</v>
      </c>
      <c r="E3" s="1240"/>
      <c r="F3" s="1241"/>
      <c r="G3" s="1244"/>
      <c r="H3" s="1240"/>
      <c r="I3" s="1241"/>
      <c r="J3" s="1244" t="s">
        <v>78</v>
      </c>
      <c r="K3" s="1240"/>
      <c r="L3" s="1241"/>
      <c r="M3" s="1244" t="s">
        <v>2443</v>
      </c>
      <c r="N3" s="1241"/>
      <c r="O3" s="1239" t="s">
        <v>79</v>
      </c>
      <c r="P3" s="1240"/>
      <c r="Q3" s="1241"/>
      <c r="R3" s="1242" t="s">
        <v>2447</v>
      </c>
      <c r="S3" s="124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7999972.0349411406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7289100.4800000004</v>
      </c>
      <c r="M5" s="373"/>
      <c r="N5" s="374"/>
      <c r="O5" s="283"/>
      <c r="P5" s="189"/>
      <c r="Q5" s="182" cm="1">
        <f t="array" ref="Q5">+SUMPRODUCT(('Réel 2024'!$A$8:$A$501=$A5)*('Réel 2024'!$C$3:$AO$3=Q$2),'Réel 2024'!$C$8:$AO$501)</f>
        <v>6459230.2599999793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27</v>
      </c>
      <c r="E6" s="184">
        <f t="shared" ref="E6:E12" si="2">IF(D6=0,0,F6/D6)</f>
        <v>4306.395348837209</v>
      </c>
      <c r="F6" s="184" cm="1">
        <f t="array" ref="F6">+SUMPRODUCT(('Budget original'!$A$8:$A$501=$A6)*('Budget original'!$C$3:$AO$3=F$2),'Budget original'!$C$8:$AO$501)</f>
        <v>116272.67441860464</v>
      </c>
      <c r="G6" s="187"/>
      <c r="H6" s="184"/>
      <c r="I6" s="184"/>
      <c r="J6" s="187">
        <f>-SUMIFS(BV_Data_An_Cour!$P:$P,BV_Data_An_Cour!$U:$U,$B6,BV_Data_An_Cour!$V:$V,$C6,BV_Data_An_Cour!$W:$W,J$2)</f>
        <v>21</v>
      </c>
      <c r="K6" s="184">
        <f>IF(J6=0,0,L6/J6)</f>
        <v>4597.7219047618955</v>
      </c>
      <c r="L6" s="478">
        <f>-SUMIFS(BV_Data_An_Cour!$P:$P,BV_Data_An_Cour!$U:$U,$B6,BV_Data_An_Cour!$V:$V,$C6,BV_Data_An_Cour!$W:$W,L$2)</f>
        <v>96552.1599999998</v>
      </c>
      <c r="M6" s="187">
        <f t="shared" ref="M6:M12" si="3">J6-D6</f>
        <v>-6</v>
      </c>
      <c r="N6" s="185">
        <f t="shared" ref="N6:N12" si="4">L6-F6</f>
        <v>-19720.514418604842</v>
      </c>
      <c r="O6" s="187" cm="1">
        <f t="array" ref="O6">+SUMPRODUCT(('Réel 2024'!$A$8:$A$501=$A6)*('Réel 2024'!$C$3:$AO$3=O$2),'Réel 2024'!$C$8:$AO$501)</f>
        <v>24</v>
      </c>
      <c r="P6" s="184">
        <f t="shared" ref="P6:P12" si="5">IF(O6=0,0,Q6/O6)</f>
        <v>5389.0008333333335</v>
      </c>
      <c r="Q6" s="478" cm="1">
        <f t="array" ref="Q6">+SUMPRODUCT(('Réel 2024'!$A$8:$A$501=$A6)*('Réel 2024'!$C$3:$AO$3=Q$2),'Réel 2024'!$C$8:$AO$501)</f>
        <v>129336.02</v>
      </c>
      <c r="R6" s="187">
        <f>J6-O6</f>
        <v>-3</v>
      </c>
      <c r="S6" s="350">
        <f>L6-Q6</f>
        <v>-32783.860000000204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47</v>
      </c>
      <c r="E7" s="184">
        <f t="shared" si="2"/>
        <v>4000.3311258278145</v>
      </c>
      <c r="F7" s="184" cm="1">
        <f t="array" ref="F7">+SUMPRODUCT(('Budget original'!$A$8:$A$501=$A7)*('Budget original'!$C$3:$AO$3=F$2),'Budget original'!$C$8:$AO$501)</f>
        <v>188015.56291390728</v>
      </c>
      <c r="G7" s="187"/>
      <c r="H7" s="184"/>
      <c r="I7" s="184"/>
      <c r="J7" s="187">
        <f>-SUMIFS(BV_Data_An_Cour!$P:$P,BV_Data_An_Cour!$U:$U,$B7,BV_Data_An_Cour!$V:$V,$C7,BV_Data_An_Cour!$W:$W,J$2)</f>
        <v>44</v>
      </c>
      <c r="K7" s="184">
        <f t="shared" ref="K7:K12" si="6">IF(J7=0,0,L7/J7)</f>
        <v>4472.0400000000072</v>
      </c>
      <c r="L7" s="478">
        <f>-SUMIFS(BV_Data_An_Cour!$P:$P,BV_Data_An_Cour!$U:$U,$B7,BV_Data_An_Cour!$V:$V,$C7,BV_Data_An_Cour!$W:$W,L$2)</f>
        <v>196769.7600000003</v>
      </c>
      <c r="M7" s="187">
        <f t="shared" si="3"/>
        <v>-3</v>
      </c>
      <c r="N7" s="185">
        <f t="shared" si="4"/>
        <v>8754.197086093016</v>
      </c>
      <c r="O7" s="187" cm="1">
        <f t="array" ref="O7">+SUMPRODUCT(('Réel 2024'!$A$8:$A$501=$A7)*('Réel 2024'!$C$3:$AO$3=O$2),'Réel 2024'!$C$8:$AO$501)</f>
        <v>29</v>
      </c>
      <c r="P7" s="184">
        <f t="shared" si="5"/>
        <v>5047.0813793103343</v>
      </c>
      <c r="Q7" s="478" cm="1">
        <f t="array" ref="Q7">+SUMPRODUCT(('Réel 2024'!$A$8:$A$501=$A7)*('Réel 2024'!$C$3:$AO$3=Q$2),'Réel 2024'!$C$8:$AO$501)</f>
        <v>146365.35999999969</v>
      </c>
      <c r="R7" s="187">
        <f t="shared" ref="R7:R12" si="7">J7-O7</f>
        <v>15</v>
      </c>
      <c r="S7" s="350">
        <f t="shared" ref="S7:S12" si="8">L7-Q7</f>
        <v>50404.400000000605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2024'!$A$8:$A$501=$A8)*('Réel 2024'!$C$3:$AO$3=O$2),'Réel 2024'!$C$8:$AO$501)</f>
        <v>0</v>
      </c>
      <c r="P8" s="184">
        <f t="shared" si="5"/>
        <v>0</v>
      </c>
      <c r="Q8" s="478" cm="1">
        <f t="array" ref="Q8">+SUMPRODUCT(('Réel 2024'!$A$8:$A$501=$A8)*('Réel 2024'!$C$3:$AO$3=Q$2),'Réel 2024'!$C$8:$AO$501)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2024'!$A$8:$A$501=$A9)*('Réel 2024'!$C$3:$AO$3=O$2),'Réel 2024'!$C$8:$AO$501)</f>
        <v>0</v>
      </c>
      <c r="P9" s="184">
        <f t="shared" si="5"/>
        <v>0</v>
      </c>
      <c r="Q9" s="478" cm="1">
        <f t="array" ref="Q9">+SUMPRODUCT(('Réel 2024'!$A$8:$A$501=$A9)*('Réel 2024'!$C$3:$AO$3=Q$2),'Réel 2024'!$C$8:$AO$501)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2024'!$A$8:$A$501=$A10)*('Réel 2024'!$C$3:$AO$3=O$2),'Réel 2024'!$C$8:$AO$501)</f>
        <v>0</v>
      </c>
      <c r="P10" s="184">
        <f t="shared" si="5"/>
        <v>0</v>
      </c>
      <c r="Q10" s="478" cm="1">
        <f t="array" ref="Q10">+SUMPRODUCT(('Réel 2024'!$A$8:$A$501=$A10)*('Réel 2024'!$C$3:$AO$3=Q$2),'Réel 2024'!$C$8:$AO$501)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2024'!$A$8:$A$501=$A11)*('Réel 2024'!$C$3:$AO$3=O$2),'Réel 2024'!$C$8:$AO$501)</f>
        <v>0</v>
      </c>
      <c r="P11" s="184">
        <f t="shared" si="5"/>
        <v>0</v>
      </c>
      <c r="Q11" s="478" cm="1">
        <f t="array" ref="Q11">+SUMPRODUCT(('Réel 2024'!$A$8:$A$501=$A11)*('Réel 2024'!$C$3:$AO$3=Q$2),'Réel 2024'!$C$8:$AO$501)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2024'!$A$8:$A$501=$A12)*('Réel 2024'!$C$3:$AO$3=O$2),'Réel 2024'!$C$8:$AO$501)</f>
        <v>0</v>
      </c>
      <c r="P12" s="184">
        <f t="shared" si="5"/>
        <v>0</v>
      </c>
      <c r="Q12" s="478" cm="1">
        <f t="array" ref="Q12">+SUMPRODUCT(('Réel 2024'!$A$8:$A$501=$A12)*('Réel 2024'!$C$3:$AO$3=Q$2),'Réel 2024'!$C$8:$AO$501)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74</v>
      </c>
      <c r="E13" s="351">
        <f>IF(D13&lt;=0,0,F13/D13)</f>
        <v>4112.0032071961068</v>
      </c>
      <c r="F13" s="352">
        <f t="shared" ref="F13" si="9">+SUM(F6:F12)</f>
        <v>304288.23733251193</v>
      </c>
      <c r="G13" s="353"/>
      <c r="H13" s="351"/>
      <c r="I13" s="352"/>
      <c r="J13" s="353">
        <f>+SUM(J6:J12)</f>
        <v>65</v>
      </c>
      <c r="K13" s="351">
        <f>IF(J13&lt;=0,0,L13/J13)</f>
        <v>4512.6449230769249</v>
      </c>
      <c r="L13" s="352">
        <f>+SUM(L6:L12)</f>
        <v>293321.9200000001</v>
      </c>
      <c r="M13" s="353">
        <f>+SUM(M6:M12)</f>
        <v>-9</v>
      </c>
      <c r="N13" s="352">
        <f t="shared" ref="N13" si="10">+SUM(N6:N12)</f>
        <v>-10966.317332511826</v>
      </c>
      <c r="O13" s="353">
        <f>+SUM(O6:O12)</f>
        <v>53</v>
      </c>
      <c r="P13" s="351">
        <f>IF(O13&lt;=0,0,Q13/O13)</f>
        <v>5201.912830188674</v>
      </c>
      <c r="Q13" s="352">
        <f t="shared" ref="Q13" si="11">+SUM(Q6:Q12)</f>
        <v>275701.37999999971</v>
      </c>
      <c r="R13" s="353">
        <f>+SUM(R6:R12)</f>
        <v>12</v>
      </c>
      <c r="S13" s="354">
        <f>+SUM(S6:S12)</f>
        <v>17620.540000000401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-0.12162162162162163</v>
      </c>
      <c r="N14" s="239">
        <f>IF(F13=0,0,N13/F13)</f>
        <v>-3.6039241702689767E-2</v>
      </c>
      <c r="O14" s="228"/>
      <c r="P14" s="184"/>
      <c r="Q14" s="270"/>
      <c r="R14" s="240">
        <f>R13/O13</f>
        <v>0.22641509433962265</v>
      </c>
      <c r="S14" s="267">
        <f>IF(Q13=0,0,(S13/Q13))</f>
        <v>6.3911685897257459E-2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11</v>
      </c>
      <c r="E15" s="189">
        <f>IF(D15=0,0,F15/D15)</f>
        <v>750</v>
      </c>
      <c r="F15" s="182" cm="1">
        <f t="array" ref="F15">+SUMPRODUCT(('Budget original'!$A$8:$A$501=$A15)*('Budget original'!$C$3:$AO$3=F$2),'Budget original'!$C$8:$AO$501)</f>
        <v>8250</v>
      </c>
      <c r="G15" s="188"/>
      <c r="H15" s="357"/>
      <c r="I15" s="355"/>
      <c r="J15" s="471">
        <f>-SUMIFS(BV_Data_An_Cour!$P:$P,BV_Data_An_Cour!$U:$U,$B15,BV_Data_An_Cour!$V:$V,$C15,BV_Data_An_Cour!$W:$W,J$2)</f>
        <v>14</v>
      </c>
      <c r="K15" s="472">
        <f>IF(J15=0,0,L15/J15)</f>
        <v>2404.6000000000099</v>
      </c>
      <c r="L15" s="472">
        <f>-SUMIFS(BV_Data_An_Cour!$P:$P,BV_Data_An_Cour!$U:$U,$B15,BV_Data_An_Cour!$V:$V,$C15,BV_Data_An_Cour!$W:$W,L$2)</f>
        <v>33664.40000000014</v>
      </c>
      <c r="M15" s="356">
        <f>J15-D15</f>
        <v>3</v>
      </c>
      <c r="N15" s="355">
        <f>L15-F15</f>
        <v>25414.40000000014</v>
      </c>
      <c r="O15" s="471" cm="1">
        <f t="array" ref="O15">+SUMPRODUCT(('Réel 2024'!$A$8:$A$501=$A15)*('Réel 2024'!$C$3:$AO$3=O$2),'Réel 2024'!$C$8:$AO$501)</f>
        <v>15</v>
      </c>
      <c r="P15" s="472">
        <f>IF(O15=0,0,Q15/O15)</f>
        <v>2940.306666666665</v>
      </c>
      <c r="Q15" s="472" cm="1">
        <f t="array" ref="Q15">+SUMPRODUCT(('Réel 2024'!$A$8:$A$501=$A15)*('Réel 2024'!$C$3:$AO$3=Q$2),'Réel 2024'!$C$8:$AO$501)</f>
        <v>44104.599999999977</v>
      </c>
      <c r="R15" s="356">
        <f>J15-O15</f>
        <v>-1</v>
      </c>
      <c r="S15" s="377">
        <f>L15-Q15</f>
        <v>-10440.199999999837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2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0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-2</v>
      </c>
      <c r="N17" s="185">
        <f>L17-F17</f>
        <v>0</v>
      </c>
      <c r="O17" s="356" cm="1">
        <f t="array" ref="O17">+SUMPRODUCT(('Réel 2024'!$A$8:$A$501=$A17)*('Réel 2024'!$C$3:$AO$3=O$2),'Réel 2024'!$C$8:$AO$501)</f>
        <v>1</v>
      </c>
      <c r="P17" s="184">
        <f>IF(O17=0,0,Q17/O17)</f>
        <v>0</v>
      </c>
      <c r="Q17" s="185" cm="1">
        <f t="array" ref="Q17">+SUMPRODUCT(('Réel 2024'!$A$8:$A$501=$A17)*('Réel 2024'!$C$3:$AO$3=Q$2),'Réel 2024'!$C$8:$AO$501)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9747.2565123021031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12925.72000000003</v>
      </c>
      <c r="M19" s="187"/>
      <c r="N19" s="185">
        <f>L19-F19</f>
        <v>3178.4634876979271</v>
      </c>
      <c r="O19" s="188" cm="1">
        <f t="array" ref="O19">+SUMPRODUCT(('Réel 2024'!$A$8:$A$501=$A19)*('Réel 2024'!$C$3:$AO$3=O$2),'Réel 2024'!$C$8:$AO$501)</f>
        <v>0</v>
      </c>
      <c r="P19" s="184">
        <f>IF(O19=0,0,Q19/O19)</f>
        <v>0</v>
      </c>
      <c r="Q19" s="185" cm="1">
        <f t="array" ref="Q19">+SUMPRODUCT(('Réel 2024'!$A$8:$A$501=$A19)*('Réel 2024'!$C$3:$AO$3=Q$2),'Réel 2024'!$C$8:$AO$501)</f>
        <v>11435.159999999978</v>
      </c>
      <c r="R19" s="187">
        <f>O19-K19</f>
        <v>0</v>
      </c>
      <c r="S19" s="350">
        <f>L19-Q19</f>
        <v>1490.5600000000522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2125</v>
      </c>
      <c r="G21" s="228"/>
      <c r="H21" s="184"/>
      <c r="I21" s="184"/>
      <c r="J21" s="187"/>
      <c r="K21" s="184">
        <f>IF(J13=0,0,L21/(J13+J15))</f>
        <v>44.504303797468353</v>
      </c>
      <c r="L21" s="185">
        <f>-SUMIFS(BV_Data_An_Cour!$P:$P,BV_Data_An_Cour!$U:$U,$B21,BV_Data_An_Cour!$V:$V,$C21,BV_Data_An_Cour!$W:$W,L$2)</f>
        <v>3515.84</v>
      </c>
      <c r="M21" s="187"/>
      <c r="N21" s="185">
        <f>L21-F21</f>
        <v>1390.8400000000001</v>
      </c>
      <c r="O21" s="187"/>
      <c r="P21" s="184"/>
      <c r="Q21" s="185" cm="1">
        <f t="array" ref="Q21">+SUMPRODUCT(('Réel 2024'!$A$8:$A$501=$A21)*('Réel 2024'!$C$3:$AO$3=Q$2),'Réel 2024'!$C$8:$AO$501)</f>
        <v>2848.69</v>
      </c>
      <c r="R21" s="187">
        <f>O21-K21</f>
        <v>-44.504303797468353</v>
      </c>
      <c r="S21" s="350">
        <f>L21-Q21</f>
        <v>667.15000000000009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97750</v>
      </c>
      <c r="G22" s="228"/>
      <c r="H22" s="184"/>
      <c r="I22" s="184"/>
      <c r="J22" s="187"/>
      <c r="K22" s="184">
        <f>IF(J13=0,0,L22/(J13+J15))</f>
        <v>1208.9251898734178</v>
      </c>
      <c r="L22" s="185">
        <f>-SUMIFS(BV_Data_An_Cour!$P:$P,BV_Data_An_Cour!$U:$U,$B22,BV_Data_An_Cour!$V:$V,$C22,BV_Data_An_Cour!$W:$W,L$2)</f>
        <v>95505.090000000011</v>
      </c>
      <c r="M22" s="187"/>
      <c r="N22" s="185">
        <f>L22-F22</f>
        <v>-2244.9099999999889</v>
      </c>
      <c r="O22" s="187"/>
      <c r="P22" s="184"/>
      <c r="Q22" s="185" cm="1">
        <f t="array" ref="Q22">+SUMPRODUCT(('Réel 2024'!$A$8:$A$501=$A22)*('Réel 2024'!$C$3:$AO$3=Q$2),'Réel 2024'!$C$8:$AO$501)</f>
        <v>83349.339999999909</v>
      </c>
      <c r="R22" s="187">
        <f>O22-K22</f>
        <v>-1208.9251898734178</v>
      </c>
      <c r="S22" s="350">
        <f>L22-Q22</f>
        <v>12155.750000000102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40800</v>
      </c>
      <c r="G23" s="228"/>
      <c r="H23" s="184"/>
      <c r="I23" s="184"/>
      <c r="J23" s="187"/>
      <c r="K23" s="184">
        <f>IF(J13=0,0,L23/(J13+J15))</f>
        <v>596.63784810126583</v>
      </c>
      <c r="L23" s="185">
        <f>-SUMIFS(BV_Data_An_Cour!$P:$P,BV_Data_An_Cour!$U:$U,$B23,BV_Data_An_Cour!$V:$V,$C23,BV_Data_An_Cour!$W:$W,L$2)</f>
        <v>47134.39</v>
      </c>
      <c r="M23" s="356"/>
      <c r="N23" s="185">
        <f>L23-F23</f>
        <v>6334.3899999999994</v>
      </c>
      <c r="O23" s="187"/>
      <c r="P23" s="184"/>
      <c r="Q23" s="185" cm="1">
        <f t="array" ref="Q23">+SUMPRODUCT(('Réel 2024'!$A$8:$A$501=$A23)*('Réel 2024'!$C$3:$AO$3=Q$2),'Réel 2024'!$C$8:$AO$501)</f>
        <v>32619.63</v>
      </c>
      <c r="R23" s="187">
        <f>O23-K23</f>
        <v>-596.63784810126583</v>
      </c>
      <c r="S23" s="350">
        <f>L23-Q23</f>
        <v>14514.759999999998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85</v>
      </c>
      <c r="E24" s="351">
        <f>IF(D24&lt;=0,0,F24/D24)</f>
        <v>1655</v>
      </c>
      <c r="F24" s="352">
        <f>F21+F22+F23</f>
        <v>140675</v>
      </c>
      <c r="G24" s="353"/>
      <c r="H24" s="351"/>
      <c r="I24" s="352"/>
      <c r="J24" s="353">
        <f>+J15+J13</f>
        <v>79</v>
      </c>
      <c r="K24" s="351">
        <f>IF(J24&lt;=0,0,L24/J24)</f>
        <v>1850.0673417721521</v>
      </c>
      <c r="L24" s="352">
        <f>L21+L22+L23</f>
        <v>146155.32</v>
      </c>
      <c r="M24" s="381">
        <f>J24-D24</f>
        <v>-6</v>
      </c>
      <c r="N24" s="352">
        <f>L24-F24</f>
        <v>5480.320000000007</v>
      </c>
      <c r="O24" s="353">
        <f>+O15+O13</f>
        <v>68</v>
      </c>
      <c r="P24" s="351">
        <f>IF(O24&lt;=0,0,Q24/O24)</f>
        <v>1747.3185294117634</v>
      </c>
      <c r="Q24" s="352">
        <f>Q21+Q22+Q23</f>
        <v>118817.65999999992</v>
      </c>
      <c r="R24" s="361"/>
      <c r="S24" s="354">
        <f>L24-Q24</f>
        <v>27337.660000000091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3.8957312955393689E-2</v>
      </c>
      <c r="O25" s="228"/>
      <c r="P25" s="183"/>
      <c r="Q25" s="230"/>
      <c r="R25" s="229"/>
      <c r="S25" s="267">
        <f>IF(Q24=0,0,(S24/Q24))</f>
        <v>0.23008078092095158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87</v>
      </c>
      <c r="E27" s="27">
        <f>IF(D27&lt;=0,0,F27/D27)</f>
        <v>5321.3849867220006</v>
      </c>
      <c r="F27" s="28">
        <f>F13+F17+F24+F19+F15</f>
        <v>462960.49384481402</v>
      </c>
      <c r="G27" s="29"/>
      <c r="H27" s="30"/>
      <c r="I27" s="28"/>
      <c r="J27" s="29">
        <f>+J13+J15+J17</f>
        <v>79</v>
      </c>
      <c r="K27" s="30">
        <f>IF(J27&lt;=0,0,L27/J27)</f>
        <v>6152.7513924050672</v>
      </c>
      <c r="L27" s="28">
        <f>L13+L17+L24+L19+L15</f>
        <v>486067.36000000028</v>
      </c>
      <c r="M27" s="29">
        <f>J27-D27</f>
        <v>-8</v>
      </c>
      <c r="N27" s="28">
        <f>L27-F27</f>
        <v>23106.866155186261</v>
      </c>
      <c r="O27" s="29">
        <f>+O13+O15+O17</f>
        <v>69</v>
      </c>
      <c r="P27" s="30">
        <f>IF(O27&lt;=0,0,Q27/O27)</f>
        <v>6522.5913043478204</v>
      </c>
      <c r="Q27" s="28">
        <f>Q13+Q17+Q24+Q19+Q15</f>
        <v>450058.79999999958</v>
      </c>
      <c r="R27" s="29">
        <f>J27-O27</f>
        <v>10</v>
      </c>
      <c r="S27" s="326">
        <f>L27-Q27</f>
        <v>36008.560000000696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-9.1954022988505746E-2</v>
      </c>
      <c r="N28" s="34">
        <f>N27/F27</f>
        <v>4.9911097085816925E-2</v>
      </c>
      <c r="O28" s="31"/>
      <c r="P28" s="328"/>
      <c r="Q28" s="32"/>
      <c r="R28" s="33">
        <f>R27/O27</f>
        <v>0.14492753623188406</v>
      </c>
      <c r="S28" s="264">
        <f>IF(Q27=0,0,S27/Q27)</f>
        <v>8.0008567769368641E-2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1078.9239789666044</v>
      </c>
      <c r="F31" s="184" cm="1">
        <f t="array" ref="F31">+SUMPRODUCT(('Budget original'!$A$8:$A$501=$A31)*('Budget original'!$C$3:$AO$3=F$2),'Budget original'!$C$8:$AO$501)</f>
        <v>91708.538212161366</v>
      </c>
      <c r="G31" s="298"/>
      <c r="H31" s="200"/>
      <c r="I31" s="184"/>
      <c r="J31" s="298">
        <f>L31/(L13+L15)</f>
        <v>0.2519844255258139</v>
      </c>
      <c r="K31" s="200">
        <f t="shared" ref="K31:K36" si="13">IF(L31=0,0,L31/J$24)</f>
        <v>1042.980506329114</v>
      </c>
      <c r="L31" s="184">
        <f>SUMIFS(BV_Data_An_Cour!$P:$P,BV_Data_An_Cour!$U:$U,$B31,BV_Data_An_Cour!$V:$V,$C31,BV_Data_An_Cour!$W:$W,L$2)</f>
        <v>82395.460000000006</v>
      </c>
      <c r="M31" s="228"/>
      <c r="N31" s="230">
        <f t="shared" ref="N31:N53" si="14">L31-F31</f>
        <v>-9313.0782121613593</v>
      </c>
      <c r="O31" s="298"/>
      <c r="P31" s="200">
        <f t="shared" ref="P31:P40" si="15">Q31/O$24</f>
        <v>1308.3263235294119</v>
      </c>
      <c r="Q31" s="185" cm="1">
        <f t="array" ref="Q31">+SUMPRODUCT(('Réel 2024'!$A$8:$A$501=$A31)*('Réel 2024'!$C$3:$AO$3=Q$2),'Réel 2024'!$C$8:$AO$501)</f>
        <v>88966.19</v>
      </c>
      <c r="R31" s="228"/>
      <c r="S31" s="202">
        <f t="shared" ref="S31:S41" si="16">L31-Q31</f>
        <v>-6570.7299999999959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455.125</v>
      </c>
      <c r="F32" s="182" cm="1">
        <f t="array" ref="F32">+SUMPRODUCT(('Budget original'!$A$8:$A$501=$A32)*('Budget original'!$C$3:$AO$3=F$2),'Budget original'!$C$8:$AO$501)</f>
        <v>38685.625</v>
      </c>
      <c r="G32" s="325"/>
      <c r="H32" s="193"/>
      <c r="I32" s="182"/>
      <c r="J32" s="325">
        <f>L32/L24</f>
        <v>0.2840864088970555</v>
      </c>
      <c r="K32" s="363">
        <f t="shared" si="13"/>
        <v>525.57898734177218</v>
      </c>
      <c r="L32" s="182">
        <f>SUMIFS(BV_Data_An_Cour!$P:$P,BV_Data_An_Cour!$U:$U,$B32,BV_Data_An_Cour!$V:$V,$C32,BV_Data_An_Cour!$W:$W,L$2)</f>
        <v>41520.74</v>
      </c>
      <c r="M32" s="283"/>
      <c r="N32" s="284">
        <f t="shared" si="14"/>
        <v>2835.114999999998</v>
      </c>
      <c r="O32" s="325"/>
      <c r="P32" s="363">
        <f t="shared" si="15"/>
        <v>718.58323529411769</v>
      </c>
      <c r="Q32" s="182" cm="1">
        <f t="array" ref="Q32">+SUMPRODUCT(('Réel 2024'!$A$8:$A$501=$A32)*('Réel 2024'!$C$3:$AO$3=Q$2),'Réel 2024'!$C$8:$AO$501)</f>
        <v>48863.66</v>
      </c>
      <c r="R32" s="283"/>
      <c r="S32" s="205">
        <f t="shared" si="16"/>
        <v>-7342.9200000000055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130</v>
      </c>
      <c r="F33" s="184" cm="1">
        <f t="array" ref="F33">+SUMPRODUCT(('Budget original'!$A$8:$A$501=$A33)*('Budget original'!$C$3:$AO$3=F$2),'Budget original'!$C$8:$AO$501)</f>
        <v>11050</v>
      </c>
      <c r="G33" s="274"/>
      <c r="H33" s="200"/>
      <c r="I33" s="184"/>
      <c r="J33" s="228"/>
      <c r="K33" s="200">
        <f t="shared" si="13"/>
        <v>83.048987341772147</v>
      </c>
      <c r="L33" s="184">
        <f>SUMIFS(BV_Data_An_Cour!$P:$P,BV_Data_An_Cour!$U:$U,$B33,BV_Data_An_Cour!$V:$V,$C33,BV_Data_An_Cour!$W:$W,L$2)</f>
        <v>6560.87</v>
      </c>
      <c r="M33" s="228"/>
      <c r="N33" s="230">
        <f t="shared" si="14"/>
        <v>-4489.13</v>
      </c>
      <c r="O33" s="228"/>
      <c r="P33" s="200">
        <f t="shared" si="15"/>
        <v>113.44382352941177</v>
      </c>
      <c r="Q33" s="185" cm="1">
        <f t="array" ref="Q33">+SUMPRODUCT(('Réel 2024'!$A$8:$A$501=$A33)*('Réel 2024'!$C$3:$AO$3=Q$2),'Réel 2024'!$C$8:$AO$501)</f>
        <v>7714.18</v>
      </c>
      <c r="R33" s="228"/>
      <c r="S33" s="202">
        <f t="shared" si="16"/>
        <v>-1153.3100000000004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37</v>
      </c>
      <c r="F34" s="184" cm="1">
        <f t="array" ref="F34">+SUMPRODUCT(('Budget original'!$A$8:$A$501=$A34)*('Budget original'!$C$3:$AO$3=F$2),'Budget original'!$C$8:$AO$501)</f>
        <v>3145</v>
      </c>
      <c r="G34" s="274"/>
      <c r="H34" s="200"/>
      <c r="I34" s="184"/>
      <c r="J34" s="228"/>
      <c r="K34" s="200">
        <f t="shared" si="13"/>
        <v>35.478607594936712</v>
      </c>
      <c r="L34" s="184">
        <f>SUMIFS(BV_Data_An_Cour!$P:$P,BV_Data_An_Cour!$U:$U,$B34,BV_Data_An_Cour!$V:$V,$C34,BV_Data_An_Cour!$W:$W,L$2)</f>
        <v>2802.81</v>
      </c>
      <c r="M34" s="228"/>
      <c r="N34" s="230">
        <f t="shared" si="14"/>
        <v>-342.19000000000005</v>
      </c>
      <c r="O34" s="228"/>
      <c r="P34" s="200">
        <f t="shared" si="15"/>
        <v>39.178970588235295</v>
      </c>
      <c r="Q34" s="185" cm="1">
        <f t="array" ref="Q34">+SUMPRODUCT(('Réel 2024'!$A$8:$A$501=$A34)*('Réel 2024'!$C$3:$AO$3=Q$2),'Réel 2024'!$C$8:$AO$501)</f>
        <v>2664.17</v>
      </c>
      <c r="R34" s="228"/>
      <c r="S34" s="202">
        <f t="shared" si="16"/>
        <v>138.63999999999987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62.058823529411768</v>
      </c>
      <c r="F35" s="182" cm="1">
        <f t="array" ref="F35">+SUMPRODUCT(('Budget original'!$A$8:$A$501=$A35)*('Budget original'!$C$3:$AO$3=F$2),'Budget original'!$C$8:$AO$501)</f>
        <v>5275</v>
      </c>
      <c r="G35" s="282"/>
      <c r="H35" s="193"/>
      <c r="I35" s="182"/>
      <c r="J35" s="283"/>
      <c r="K35" s="363">
        <f t="shared" si="13"/>
        <v>74.960759493670878</v>
      </c>
      <c r="L35" s="182">
        <f>SUMIFS(BV_Data_An_Cour!$P:$P,BV_Data_An_Cour!$U:$U,$B35,BV_Data_An_Cour!$V:$V,$C35,BV_Data_An_Cour!$W:$W,L$2)</f>
        <v>5921.9</v>
      </c>
      <c r="M35" s="283"/>
      <c r="N35" s="284">
        <f t="shared" si="14"/>
        <v>646.89999999999964</v>
      </c>
      <c r="O35" s="283"/>
      <c r="P35" s="363">
        <f t="shared" si="15"/>
        <v>72.97470588235295</v>
      </c>
      <c r="Q35" s="185" cm="1">
        <f t="array" ref="Q35">+SUMPRODUCT(('Réel 2024'!$A$8:$A$501=$A35)*('Réel 2024'!$C$3:$AO$3=Q$2),'Réel 2024'!$C$8:$AO$501)</f>
        <v>4962.2800000000007</v>
      </c>
      <c r="R35" s="283"/>
      <c r="S35" s="205">
        <f t="shared" si="16"/>
        <v>959.61999999999898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513.97058823529414</v>
      </c>
      <c r="F36" s="184" cm="1">
        <f t="array" ref="F36">+SUMPRODUCT(('Budget original'!$A$8:$A$501=$A36)*('Budget original'!$C$3:$AO$3=F$2),'Budget original'!$C$8:$AO$501)</f>
        <v>43687.5</v>
      </c>
      <c r="G36" s="274"/>
      <c r="H36" s="200"/>
      <c r="I36" s="184"/>
      <c r="J36" s="228"/>
      <c r="K36" s="200">
        <f t="shared" si="13"/>
        <v>650.16227848101266</v>
      </c>
      <c r="L36" s="553">
        <f>SUMIFS(BV_Data_An_Cour!$P:$P,BV_Data_An_Cour!$U:$U,$B36,BV_Data_An_Cour!$V:$V,$C36,BV_Data_An_Cour!$W:$W,L$2)</f>
        <v>51362.82</v>
      </c>
      <c r="M36" s="183"/>
      <c r="N36" s="230">
        <f t="shared" si="14"/>
        <v>7675.32</v>
      </c>
      <c r="O36" s="228"/>
      <c r="P36" s="200">
        <f t="shared" si="15"/>
        <v>622.98779411764701</v>
      </c>
      <c r="Q36" s="379" cm="1">
        <f t="array" ref="Q36">+SUMPRODUCT(('Réel 2024'!$A$8:$A$501=$A36)*('Réel 2024'!$C$3:$AO$3=Q$2),'Réel 2024'!$C$8:$AO$501)</f>
        <v>42363.17</v>
      </c>
      <c r="R36" s="228"/>
      <c r="S36" s="202">
        <f t="shared" si="16"/>
        <v>8999.6500000000015</v>
      </c>
      <c r="T36" s="25"/>
      <c r="U36" s="25"/>
      <c r="V36" s="24"/>
      <c r="W36" s="24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1330.4574812991461</v>
      </c>
      <c r="F37" s="184" cm="1">
        <f t="array" ref="F37">+SUMPRODUCT(('Budget original'!$A$8:$A$501=$A37)*('Budget original'!$C$3:$AO$3=F$2),'Budget original'!$C$8:$AO$501)</f>
        <v>113088.88591042743</v>
      </c>
      <c r="G37" s="274"/>
      <c r="H37" s="200"/>
      <c r="I37" s="184"/>
      <c r="J37" s="228"/>
      <c r="K37" s="200">
        <f>IF(L37=0,0,L37/J$24)</f>
        <v>1172.5303797468355</v>
      </c>
      <c r="L37" s="554">
        <f>SUMIFS(BV_Data_An_Cour!$P:$P,BV_Data_An_Cour!$U:$U,$B37,BV_Data_An_Cour!$V:$V,$C37,BV_Data_An_Cour!$W:$W,L$2)</f>
        <v>92629.9</v>
      </c>
      <c r="M37" s="183"/>
      <c r="N37" s="230">
        <f t="shared" si="14"/>
        <v>-20458.985910427436</v>
      </c>
      <c r="O37" s="228"/>
      <c r="P37" s="200">
        <f t="shared" si="15"/>
        <v>1897.5864705882354</v>
      </c>
      <c r="Q37" s="185" cm="1">
        <f t="array" ref="Q37">+SUMPRODUCT(('Réel 2024'!$A$8:$A$501=$A37)*('Réel 2024'!$C$3:$AO$3=Q$2),'Réel 2024'!$C$8:$AO$501)</f>
        <v>129035.88</v>
      </c>
      <c r="R37" s="228"/>
      <c r="S37" s="202">
        <f>L37-Q37</f>
        <v>-36405.98000000001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2024'!$A$8:$A$501=$A38)*('Réel 2024'!$C$3:$AO$3=Q$2),'Réel 2024'!$C$8:$AO$501)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2024'!$A$8:$A$501=$A39)*('Réel 2024'!$C$3:$AO$3=Q$2),'Réel 2024'!$C$8:$AO$501)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2024'!$A$8:$A$501=$A40)*('Réel 2024'!$C$3:$AO$3=Q$2),'Réel 2024'!$C$8:$AO$501)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0.66234711859750139</v>
      </c>
      <c r="F41" s="41">
        <f>SUM(F31:F40)</f>
        <v>306640.54912258883</v>
      </c>
      <c r="G41" s="42"/>
      <c r="H41" s="40"/>
      <c r="I41" s="41"/>
      <c r="J41" s="42" t="s">
        <v>108</v>
      </c>
      <c r="K41" s="40">
        <f>L41/L$27</f>
        <v>0.58262398034708573</v>
      </c>
      <c r="L41" s="41">
        <f>SUM(L31:L40)</f>
        <v>283194.5</v>
      </c>
      <c r="M41" s="512"/>
      <c r="N41" s="41">
        <f t="shared" si="14"/>
        <v>-23446.049122588825</v>
      </c>
      <c r="O41" s="42" t="s">
        <v>108</v>
      </c>
      <c r="P41" s="40">
        <f>Q41/Q$27</f>
        <v>0.721171389160706</v>
      </c>
      <c r="Q41" s="511">
        <f>SUM(Q31:Q40)</f>
        <v>324569.53000000003</v>
      </c>
      <c r="R41" s="44"/>
      <c r="S41" s="290">
        <f t="shared" si="16"/>
        <v>-41375.030000000028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49911.372413793106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52431.83</v>
      </c>
      <c r="M42" s="228"/>
      <c r="N42" s="230">
        <f t="shared" si="14"/>
        <v>2520.4575862068959</v>
      </c>
      <c r="O42" s="228"/>
      <c r="P42" s="183"/>
      <c r="Q42" s="185" cm="1">
        <f t="array" ref="Q42">+SUMPRODUCT(('Réel 2024'!$A$8:$A$501=$A42)*('Réel 2024'!$C$3:$AO$3=Q$2),'Réel 2024'!$C$8:$AO$501)</f>
        <v>48542.42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38491.15632183908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37429.83</v>
      </c>
      <c r="M43" s="228"/>
      <c r="N43" s="230">
        <f t="shared" si="14"/>
        <v>-1061.3263218390784</v>
      </c>
      <c r="O43" s="228"/>
      <c r="P43" s="183"/>
      <c r="Q43" s="185" cm="1">
        <f t="array" ref="Q43">+SUMPRODUCT(('Réel 2024'!$A$8:$A$501=$A43)*('Réel 2024'!$C$3:$AO$3=Q$2),'Réel 2024'!$C$8:$AO$501)</f>
        <v>33263.990000000005</v>
      </c>
      <c r="R43" s="228"/>
      <c r="S43" s="202">
        <f t="shared" ref="S43:S53" si="17">L43-Q43</f>
        <v>4165.8399999999965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1368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1368</v>
      </c>
      <c r="M44" s="278"/>
      <c r="N44" s="279">
        <f t="shared" si="14"/>
        <v>0</v>
      </c>
      <c r="O44" s="278"/>
      <c r="P44" s="276"/>
      <c r="Q44" s="186" cm="1">
        <f t="array" ref="Q44">+SUMPRODUCT(('Réel 2024'!$A$8:$A$501=$A44)*('Réel 2024'!$C$3:$AO$3=Q$2),'Réel 2024'!$C$8:$AO$501)</f>
        <v>1368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2024'!$A$8:$A$501=$A45)*('Réel 2024'!$C$3:$AO$3=Q$2),'Réel 2024'!$C$8:$AO$501)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2024'!$A$8:$A$501=$A46)*('Réel 2024'!$C$3:$AO$3=Q$2),'Réel 2024'!$C$8:$AO$501)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2024'!$A$8:$A$501=$A47)*('Réel 2024'!$C$3:$AO$3=Q$2),'Réel 2024'!$C$8:$AO$501)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2024'!$A$8:$A$501=$A48)*('Réel 2024'!$C$3:$AO$3=Q$2),'Réel 2024'!$C$8:$AO$501)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27117.908467187699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34182.69</v>
      </c>
      <c r="M49" s="228"/>
      <c r="N49" s="230">
        <f t="shared" si="14"/>
        <v>7064.7815328123033</v>
      </c>
      <c r="O49" s="228"/>
      <c r="P49" s="183"/>
      <c r="Q49" s="182" cm="1">
        <f t="array" ref="Q49">+SUMPRODUCT(('Réel 2024'!$A$8:$A$501=$A49)*('Réel 2024'!$C$3:$AO$3=Q$2),'Réel 2024'!$C$8:$AO$501)</f>
        <v>31183.279999999999</v>
      </c>
      <c r="R49" s="228"/>
      <c r="S49" s="202">
        <f t="shared" si="17"/>
        <v>2999.4100000000035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36791.649973034488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42331.95</v>
      </c>
      <c r="M50" s="278"/>
      <c r="N50" s="279">
        <f t="shared" si="14"/>
        <v>5540.3000269655095</v>
      </c>
      <c r="O50" s="278"/>
      <c r="P50" s="276"/>
      <c r="Q50" s="185" cm="1">
        <f t="array" ref="Q50">+SUMPRODUCT(('Réel 2024'!$A$8:$A$501=$A50)*('Réel 2024'!$C$3:$AO$3=Q$2),'Réel 2024'!$C$8:$AO$501)</f>
        <v>39328.01</v>
      </c>
      <c r="R50" s="278"/>
      <c r="S50" s="204">
        <f t="shared" si="17"/>
        <v>3003.9399999999951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17182.274954647935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18343.349999999999</v>
      </c>
      <c r="M51" s="228"/>
      <c r="N51" s="230">
        <f t="shared" si="14"/>
        <v>1161.0750453520632</v>
      </c>
      <c r="O51" s="228"/>
      <c r="P51" s="183"/>
      <c r="Q51" s="185" cm="1">
        <f t="array" ref="Q51">+SUMPRODUCT(('Réel 2024'!$A$8:$A$501=$A51)*('Réel 2024'!$C$3:$AO$3=Q$2),'Réel 2024'!$C$8:$AO$501)</f>
        <v>16432.440000000002</v>
      </c>
      <c r="R51" s="228"/>
      <c r="S51" s="202">
        <f t="shared" si="17"/>
        <v>1910.9099999999962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3681.9160617102721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5909.11</v>
      </c>
      <c r="M52" s="228"/>
      <c r="N52" s="230">
        <f t="shared" si="14"/>
        <v>2227.1939382897276</v>
      </c>
      <c r="O52" s="228"/>
      <c r="P52" s="183"/>
      <c r="Q52" s="185" cm="1">
        <f t="array" ref="Q52">+SUMPRODUCT(('Réel 2024'!$A$8:$A$501=$A52)*('Réel 2024'!$C$3:$AO$3=Q$2),'Réel 2024'!$C$8:$AO$501)</f>
        <v>4727.58</v>
      </c>
      <c r="R52" s="228"/>
      <c r="S52" s="202">
        <f t="shared" si="17"/>
        <v>1181.5299999999997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2024'!$A$8:$A$501=$A53)*('Réel 2024'!$C$3:$AO$3=Q$2),'Réel 2024'!$C$8:$AO$501)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0.37701765164161161</v>
      </c>
      <c r="F54" s="41">
        <f>+SUM(F42:F53)</f>
        <v>174544.27819221257</v>
      </c>
      <c r="G54" s="42"/>
      <c r="H54" s="40"/>
      <c r="I54" s="41"/>
      <c r="J54" s="42" t="s">
        <v>108</v>
      </c>
      <c r="K54" s="40">
        <f>L54/L$27</f>
        <v>0.39500031435972138</v>
      </c>
      <c r="L54" s="41">
        <f>+SUM(L42:L53)</f>
        <v>191996.75999999998</v>
      </c>
      <c r="M54" s="44"/>
      <c r="N54" s="41">
        <f>+SUM(N42:N53)</f>
        <v>17452.481807787422</v>
      </c>
      <c r="O54" s="42" t="s">
        <v>108</v>
      </c>
      <c r="P54" s="40">
        <f>Q54/Q$27</f>
        <v>0.38849528106105286</v>
      </c>
      <c r="Q54" s="41">
        <f>+SUM(Q42:Q53)</f>
        <v>174845.72</v>
      </c>
      <c r="R54" s="44"/>
      <c r="S54" s="290">
        <f>+SUM(S42:S53)</f>
        <v>13261.62999999999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2024'!$A$8:$A$501=$A55)*('Réel 2024'!$C$3:$AO$3=Q$2),'Réel 2024'!$C$8:$AO$501)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2024'!$A$8:$A$501=$A56)*('Réel 2024'!$C$3:$AO$3=Q$2),'Réel 2024'!$C$8:$AO$501)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26483.73333333333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29273.18</v>
      </c>
      <c r="M57" s="283"/>
      <c r="N57" s="284">
        <v>0</v>
      </c>
      <c r="O57" s="283"/>
      <c r="P57" s="281"/>
      <c r="Q57" s="182" cm="1">
        <f t="array" ref="Q57">+SUMPRODUCT(('Réel 2024'!$A$8:$A$501=$A57)*('Réel 2024'!$C$3:$AO$3=Q$2),'Réel 2024'!$C$8:$AO$501)</f>
        <v>21142.27</v>
      </c>
      <c r="R57" s="283"/>
      <c r="S57" s="205">
        <f t="shared" si="19"/>
        <v>8130.91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19513.2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20063.84</v>
      </c>
      <c r="M58" s="228"/>
      <c r="N58" s="230">
        <f t="shared" si="18"/>
        <v>550.63999999999942</v>
      </c>
      <c r="O58" s="228"/>
      <c r="P58" s="183"/>
      <c r="Q58" s="185" cm="1">
        <f t="array" ref="Q58">+SUMPRODUCT(('Réel 2024'!$A$8:$A$501=$A58)*('Réel 2024'!$C$3:$AO$3=Q$2),'Réel 2024'!$C$8:$AO$501)</f>
        <v>18029.82</v>
      </c>
      <c r="R58" s="228"/>
      <c r="S58" s="202">
        <f t="shared" si="19"/>
        <v>2034.0200000000004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3300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3425.31</v>
      </c>
      <c r="M59" s="228"/>
      <c r="N59" s="230">
        <f t="shared" si="18"/>
        <v>125.30999999999995</v>
      </c>
      <c r="O59" s="228"/>
      <c r="P59" s="183"/>
      <c r="Q59" s="185" cm="1">
        <f t="array" ref="Q59">+SUMPRODUCT(('Réel 2024'!$A$8:$A$501=$A59)*('Réel 2024'!$C$3:$AO$3=Q$2),'Réel 2024'!$C$8:$AO$501)</f>
        <v>3986.53</v>
      </c>
      <c r="R59" s="228"/>
      <c r="S59" s="202">
        <f t="shared" si="19"/>
        <v>-561.22000000000025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13258.800000000001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14699.56</v>
      </c>
      <c r="M60" s="283"/>
      <c r="N60" s="284">
        <f t="shared" si="18"/>
        <v>1440.7599999999984</v>
      </c>
      <c r="O60" s="283"/>
      <c r="P60" s="281"/>
      <c r="Q60" s="182" cm="1">
        <f t="array" ref="Q60">+SUMPRODUCT(('Réel 2024'!$A$8:$A$501=$A60)*('Réel 2024'!$C$3:$AO$3=Q$2),'Réel 2024'!$C$8:$AO$501)</f>
        <v>12188.38</v>
      </c>
      <c r="R60" s="283"/>
      <c r="S60" s="205">
        <f t="shared" si="19"/>
        <v>2511.1800000000003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160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127.27</v>
      </c>
      <c r="M61" s="228"/>
      <c r="N61" s="230">
        <f t="shared" si="18"/>
        <v>-32.730000000000004</v>
      </c>
      <c r="O61" s="228"/>
      <c r="P61" s="183"/>
      <c r="Q61" s="185" cm="1">
        <f t="array" ref="Q61">+SUMPRODUCT(('Réel 2024'!$A$8:$A$501=$A61)*('Réel 2024'!$C$3:$AO$3=Q$2),'Réel 2024'!$C$8:$AO$501)</f>
        <v>9.99</v>
      </c>
      <c r="R61" s="228"/>
      <c r="S61" s="202">
        <f t="shared" si="19"/>
        <v>117.28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120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359.91</v>
      </c>
      <c r="M62" s="228"/>
      <c r="N62" s="230">
        <f t="shared" si="18"/>
        <v>239.91000000000003</v>
      </c>
      <c r="O62" s="228"/>
      <c r="P62" s="183"/>
      <c r="Q62" s="185" cm="1">
        <f t="array" ref="Q62">+SUMPRODUCT(('Réel 2024'!$A$8:$A$501=$A62)*('Réel 2024'!$C$3:$AO$3=Q$2),'Réel 2024'!$C$8:$AO$501)</f>
        <v>0</v>
      </c>
      <c r="R62" s="228"/>
      <c r="S62" s="202">
        <f t="shared" si="19"/>
        <v>359.91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2835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2187.58</v>
      </c>
      <c r="M63" s="228"/>
      <c r="N63" s="230">
        <f t="shared" si="18"/>
        <v>-647.42000000000007</v>
      </c>
      <c r="O63" s="228"/>
      <c r="P63" s="183"/>
      <c r="Q63" s="478" cm="1">
        <f t="array" ref="Q63">+SUMPRODUCT(('Réel 2024'!$A$8:$A$501=$A63)*('Réel 2024'!$C$3:$AO$3=Q$2),'Réel 2024'!$C$8:$AO$501)</f>
        <v>1742.0900000000001</v>
      </c>
      <c r="R63" s="228"/>
      <c r="S63" s="202">
        <f t="shared" si="19"/>
        <v>445.48999999999978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841.6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1601.9</v>
      </c>
      <c r="M64" s="228"/>
      <c r="N64" s="230">
        <f t="shared" si="18"/>
        <v>760.30000000000007</v>
      </c>
      <c r="O64" s="228"/>
      <c r="P64" s="183"/>
      <c r="Q64" s="185" cm="1">
        <f t="array" ref="Q64">+SUMPRODUCT(('Réel 2024'!$A$8:$A$501=$A64)*('Réel 2024'!$C$3:$AO$3=Q$2),'Réel 2024'!$C$8:$AO$501)</f>
        <v>897.81</v>
      </c>
      <c r="R64" s="228"/>
      <c r="S64" s="202">
        <f t="shared" si="19"/>
        <v>704.09000000000015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810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640.66999999999996</v>
      </c>
      <c r="M65" s="228"/>
      <c r="N65" s="230">
        <f t="shared" si="18"/>
        <v>-169.33000000000004</v>
      </c>
      <c r="O65" s="228"/>
      <c r="P65" s="183"/>
      <c r="Q65" s="185" cm="1">
        <f t="array" ref="Q65">+SUMPRODUCT(('Réel 2024'!$A$8:$A$501=$A65)*('Réel 2024'!$C$3:$AO$3=Q$2),'Réel 2024'!$C$8:$AO$501)</f>
        <v>805.09000000000015</v>
      </c>
      <c r="R65" s="228"/>
      <c r="S65" s="202">
        <f t="shared" si="19"/>
        <v>-164.42000000000019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3133.8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2742.05</v>
      </c>
      <c r="M66" s="228"/>
      <c r="N66" s="230">
        <f t="shared" si="18"/>
        <v>-391.75</v>
      </c>
      <c r="O66" s="228"/>
      <c r="P66" s="183"/>
      <c r="Q66" s="185" cm="1">
        <f t="array" ref="Q66">+SUMPRODUCT(('Réel 2024'!$A$8:$A$501=$A66)*('Réel 2024'!$C$3:$AO$3=Q$2),'Réel 2024'!$C$8:$AO$501)</f>
        <v>3174.2199999999993</v>
      </c>
      <c r="R66" s="228"/>
      <c r="S66" s="202">
        <f t="shared" si="19"/>
        <v>-432.16999999999916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2232.7340399999994</v>
      </c>
      <c r="G67" s="274"/>
      <c r="H67" s="183"/>
      <c r="I67" s="184"/>
      <c r="J67" s="228"/>
      <c r="K67" s="183"/>
      <c r="L67" s="184">
        <f>SUMIFS(BV_Data_An_Cour!$P:$P,BV_Data_An_Cour!$U:$U,$B67,BV_Data_An_Cour!$V:$V,$C67,BV_Data_An_Cour!$W:$W,L$2)</f>
        <v>1803.69</v>
      </c>
      <c r="M67" s="228"/>
      <c r="N67" s="230">
        <f t="shared" si="18"/>
        <v>-429.04403999999931</v>
      </c>
      <c r="O67" s="228"/>
      <c r="P67" s="183"/>
      <c r="Q67" s="185" cm="1">
        <f t="array" ref="Q67">+SUMPRODUCT(('Réel 2024'!$A$8:$A$501=$A67)*('Réel 2024'!$C$3:$AO$3=Q$2),'Réel 2024'!$C$8:$AO$501)</f>
        <v>567.88000000000011</v>
      </c>
      <c r="R67" s="228"/>
      <c r="S67" s="202">
        <f>L67-Q67</f>
        <v>1235.81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11072.239480234603</v>
      </c>
      <c r="G68" s="274"/>
      <c r="H68" s="183"/>
      <c r="I68" s="184"/>
      <c r="J68" s="228"/>
      <c r="K68" s="183"/>
      <c r="L68" s="184">
        <f>SUMIFS(BV_Data_An_Cour!$P:$P,BV_Data_An_Cour!$U:$U,$B68,BV_Data_An_Cour!$V:$V,$C68,BV_Data_An_Cour!$W:$W,L$2)</f>
        <v>10988.16</v>
      </c>
      <c r="M68" s="228"/>
      <c r="N68" s="230">
        <f t="shared" si="18"/>
        <v>-84.07948023460267</v>
      </c>
      <c r="O68" s="228"/>
      <c r="P68" s="183"/>
      <c r="Q68" s="185" cm="1">
        <f t="array" ref="Q68">+SUMPRODUCT(('Réel 2024'!$A$8:$A$501=$A68)*('Réel 2024'!$C$3:$AO$3=Q$2),'Réel 2024'!$C$8:$AO$501)</f>
        <v>10362.060000000001</v>
      </c>
      <c r="R68" s="228"/>
      <c r="S68" s="202">
        <f>L68-Q68</f>
        <v>626.09999999999854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2024'!$A$8:$A$501=$A69)*('Réel 2024'!$C$3:$AO$3=Q$2),'Réel 2024'!$C$8:$AO$501)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2024'!$A$8:$A$501=$A70)*('Réel 2024'!$C$3:$AO$3=Q$2),'Réel 2024'!$C$8:$AO$501)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2024'!$A$8:$A$501=$A71)*('Réel 2024'!$C$3:$AO$3=Q$2),'Réel 2024'!$C$8:$AO$501)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0.18092495572990502</v>
      </c>
      <c r="F72" s="41">
        <f>+SUM(F55:F71)</f>
        <v>83761.106853567937</v>
      </c>
      <c r="G72" s="42"/>
      <c r="H72" s="40"/>
      <c r="I72" s="41"/>
      <c r="J72" s="42" t="s">
        <v>108</v>
      </c>
      <c r="K72" s="40">
        <f>L72/L$27</f>
        <v>0.18086612522182102</v>
      </c>
      <c r="L72" s="41">
        <f>+SUM(L55:L71)</f>
        <v>87913.12000000001</v>
      </c>
      <c r="M72" s="44"/>
      <c r="N72" s="41">
        <f>+SUM(N55:N71)</f>
        <v>1362.5664797653958</v>
      </c>
      <c r="O72" s="42" t="s">
        <v>108</v>
      </c>
      <c r="P72" s="40">
        <f>Q72/Q$27</f>
        <v>0.16199247742739406</v>
      </c>
      <c r="Q72" s="41">
        <f>+SUM(Q55:Q71)</f>
        <v>72906.139999999985</v>
      </c>
      <c r="R72" s="44"/>
      <c r="S72" s="290">
        <f>+SUM(S55:S71)</f>
        <v>15006.979999999998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1.220289725969018</v>
      </c>
      <c r="F74" s="41">
        <f>F41+F54+F72</f>
        <v>564945.93416836928</v>
      </c>
      <c r="G74" s="42"/>
      <c r="H74" s="40"/>
      <c r="I74" s="41"/>
      <c r="J74" s="42" t="s">
        <v>108</v>
      </c>
      <c r="K74" s="40">
        <f>L74/L$27</f>
        <v>1.1584904199286281</v>
      </c>
      <c r="L74" s="41">
        <f>L41+L54+L72</f>
        <v>563104.38</v>
      </c>
      <c r="M74" s="44"/>
      <c r="N74" s="46">
        <f t="shared" ref="N74:N82" si="20">L74-F74</f>
        <v>-1841.5541683692718</v>
      </c>
      <c r="O74" s="42" t="s">
        <v>108</v>
      </c>
      <c r="P74" s="40">
        <f>Q74/Q$27</f>
        <v>1.2716591476491528</v>
      </c>
      <c r="Q74" s="41">
        <f>Q41+Q54+Q72</f>
        <v>572321.39</v>
      </c>
      <c r="R74" s="44"/>
      <c r="S74" s="286">
        <f>L74-Q74</f>
        <v>-9217.0100000000093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137717.14257818181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160463.64000000001</v>
      </c>
      <c r="M75" s="228"/>
      <c r="N75" s="230">
        <f t="shared" si="20"/>
        <v>22746.497421818203</v>
      </c>
      <c r="O75" s="228"/>
      <c r="P75" s="183"/>
      <c r="Q75" s="478" cm="1">
        <f t="array" ref="Q75">+SUMPRODUCT(('Réel 2024'!$A$8:$A$501=$A75)*('Réel 2024'!$C$3:$AO$3=Q$2),'Réel 2024'!$C$8:$AO$501)</f>
        <v>110662.43</v>
      </c>
      <c r="R75" s="228"/>
      <c r="S75" s="202">
        <f t="shared" ref="S75:S82" si="21">L75-Q75</f>
        <v>49801.210000000021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2024'!$A$8:$A$501=$A76)*('Réel 2024'!$C$3:$AO$3=Q$2),'Réel 2024'!$C$8:$AO$501)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2024'!$A$8:$A$501=$A77)*('Réel 2024'!$C$3:$AO$3=Q$2),'Réel 2024'!$C$8:$AO$501)</f>
        <v>0</v>
      </c>
      <c r="R77" s="228"/>
      <c r="S77" s="202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148883.39738181818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135836.4</v>
      </c>
      <c r="M78" s="228"/>
      <c r="N78" s="230">
        <f t="shared" si="20"/>
        <v>-13046.99738181819</v>
      </c>
      <c r="O78" s="228"/>
      <c r="P78" s="183"/>
      <c r="Q78" s="478" cm="1">
        <f t="array" ref="Q78">+SUMPRODUCT(('Réel 2024'!$A$8:$A$501=$A78)*('Réel 2024'!$C$3:$AO$3=Q$2),'Réel 2024'!$C$8:$AO$501)</f>
        <v>121402.4</v>
      </c>
      <c r="R78" s="228"/>
      <c r="S78" s="202">
        <f t="shared" si="21"/>
        <v>14434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2024'!$A$8:$A$501=$A79)*('Réel 2024'!$C$3:$AO$3=Q$2),'Réel 2024'!$C$8:$AO$501)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2024'!$A$8:$A$501=$A80)*('Réel 2024'!$C$3:$AO$3=Q$2),'Réel 2024'!$C$8:$AO$501)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2024'!$A$8:$A$501=$A81)*('Réel 2024'!$C$3:$AO$3=Q$2),'Réel 2024'!$C$8:$AO$501)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49816.375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47005</v>
      </c>
      <c r="M82" s="228"/>
      <c r="N82" s="230">
        <f t="shared" si="20"/>
        <v>-2811.375</v>
      </c>
      <c r="O82" s="228"/>
      <c r="P82" s="183"/>
      <c r="Q82" s="478" cm="1">
        <f t="array" ref="Q82">+SUMPRODUCT(('Réel 2024'!$A$8:$A$501=$A82)*('Réel 2024'!$C$3:$AO$3=Q$2),'Réel 2024'!$C$8:$AO$501)</f>
        <v>39270</v>
      </c>
      <c r="R82" s="228"/>
      <c r="S82" s="202">
        <f t="shared" si="21"/>
        <v>7735</v>
      </c>
      <c r="T82" s="25"/>
      <c r="U82" s="25"/>
      <c r="V82" s="24"/>
      <c r="W82" s="116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336416.91495999997</v>
      </c>
      <c r="G83" s="42"/>
      <c r="H83" s="40"/>
      <c r="I83" s="41"/>
      <c r="J83" s="42"/>
      <c r="K83" s="40"/>
      <c r="L83" s="41">
        <f>+SUM(L75:L82)</f>
        <v>343305.04000000004</v>
      </c>
      <c r="M83" s="44"/>
      <c r="N83" s="41">
        <f>+SUM(N75:N82)</f>
        <v>6888.1250400000135</v>
      </c>
      <c r="O83" s="42"/>
      <c r="P83" s="40"/>
      <c r="Q83" s="41">
        <f>+SUM(Q75:Q82)</f>
        <v>271334.82999999996</v>
      </c>
      <c r="R83" s="44"/>
      <c r="S83" s="290">
        <f>+SUM(S75:S82)</f>
        <v>71970.210000000021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234431.47463644471</v>
      </c>
      <c r="G85" s="384"/>
      <c r="H85" s="314"/>
      <c r="I85" s="311"/>
      <c r="J85" s="384"/>
      <c r="K85" s="310"/>
      <c r="L85" s="311">
        <f>L27-L74+L83</f>
        <v>266268.02000000031</v>
      </c>
      <c r="M85" s="384"/>
      <c r="N85" s="311">
        <f>N27-N74+N83</f>
        <v>31836.545363555546</v>
      </c>
      <c r="O85" s="384"/>
      <c r="P85" s="310"/>
      <c r="Q85" s="311">
        <f>Q27-Q74+Q83</f>
        <v>149072.23999999953</v>
      </c>
      <c r="R85" s="384"/>
      <c r="S85" s="315">
        <f>S27-S74+S83</f>
        <v>117195.78000000073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Avril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39" t="s">
        <v>77</v>
      </c>
      <c r="E91" s="1240"/>
      <c r="F91" s="1241"/>
      <c r="G91" s="1244"/>
      <c r="H91" s="1240"/>
      <c r="I91" s="1241"/>
      <c r="J91" s="1244" t="s">
        <v>78</v>
      </c>
      <c r="K91" s="1240"/>
      <c r="L91" s="1241"/>
      <c r="M91" s="1244" t="s">
        <v>2443</v>
      </c>
      <c r="N91" s="1241"/>
      <c r="O91" s="1239" t="s">
        <v>79</v>
      </c>
      <c r="P91" s="1240"/>
      <c r="Q91" s="1241"/>
      <c r="R91" s="1242" t="s">
        <v>2447</v>
      </c>
      <c r="S91" s="124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5412705.8823529407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4338017.9400000013</v>
      </c>
      <c r="M93" s="346"/>
      <c r="N93" s="347"/>
      <c r="O93" s="283"/>
      <c r="P93" s="189"/>
      <c r="Q93" s="182" cm="1">
        <f t="array" ref="Q93">+SUMPRODUCT(('Réel 2024'!$A$8:$A$501=$A93)*('Réel 2024'!$C$3:$AO$3=Q$2),'Réel 2024'!$C$8:$AO$501)</f>
        <v>4874227.919999999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24</v>
      </c>
      <c r="E94" s="184">
        <f t="shared" ref="E94:E100" si="23">IF(D94=0,0,F94/D94)</f>
        <v>2300</v>
      </c>
      <c r="F94" s="184" cm="1">
        <f t="array" ref="F94">+SUMPRODUCT(('Budget original'!$A$8:$A$501=$A94)*('Budget original'!$C$3:$AO$3=F$2),'Budget original'!$C$8:$AO$501)</f>
        <v>55200</v>
      </c>
      <c r="G94" s="187"/>
      <c r="H94" s="184"/>
      <c r="I94" s="184"/>
      <c r="J94" s="187">
        <f>-SUMIFS(BV_Data_An_Cour!$P:$P,BV_Data_An_Cour!$U:$U,$B94,BV_Data_An_Cour!$V:$V,$C94,BV_Data_An_Cour!$W:$W,J$2)</f>
        <v>18</v>
      </c>
      <c r="K94" s="184">
        <f>IF(J94=0,0,L94/J94)</f>
        <v>2887.1816666666718</v>
      </c>
      <c r="L94" s="185">
        <f>-SUMIFS(BV_Data_An_Cour!$P:$P,BV_Data_An_Cour!$U:$U,$B94,BV_Data_An_Cour!$V:$V,$C94,BV_Data_An_Cour!$W:$W,$L2)</f>
        <v>51969.270000000091</v>
      </c>
      <c r="M94" s="187">
        <f>J94-D94</f>
        <v>-6</v>
      </c>
      <c r="N94" s="185">
        <f>L94-F94</f>
        <v>-3230.7299999999086</v>
      </c>
      <c r="O94" s="187" cm="1">
        <f t="array" ref="O94">+SUMPRODUCT(('Réel 2024'!$A$8:$A$501=$A94)*('Réel 2024'!$C$3:$AO$3=O$2),'Réel 2024'!$C$8:$AO$501)</f>
        <v>24</v>
      </c>
      <c r="P94" s="184">
        <f t="shared" ref="P94:P100" si="24">IF(O94=0,0,Q94/O94)</f>
        <v>2466.0008333333244</v>
      </c>
      <c r="Q94" s="185" cm="1">
        <f t="array" ref="Q94">+SUMPRODUCT(('Réel 2024'!$A$8:$A$501=$A94)*('Réel 2024'!$C$3:$AO$3=Q$2),'Réel 2024'!$C$8:$AO$501)</f>
        <v>59184.019999999786</v>
      </c>
      <c r="R94" s="187">
        <f>J94-O94</f>
        <v>-6</v>
      </c>
      <c r="S94" s="350">
        <f>L94-Q94</f>
        <v>-7214.7499999996944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24</v>
      </c>
      <c r="E95" s="184">
        <f t="shared" si="23"/>
        <v>1600</v>
      </c>
      <c r="F95" s="184" cm="1">
        <f t="array" ref="F95">+SUMPRODUCT(('Budget original'!$A$8:$A$501=$A95)*('Budget original'!$C$3:$AO$3=F$2),'Budget original'!$C$8:$AO$501)</f>
        <v>38400</v>
      </c>
      <c r="G95" s="187"/>
      <c r="H95" s="184"/>
      <c r="I95" s="184"/>
      <c r="J95" s="187">
        <f>-SUMIFS(BV_Data_An_Cour!$P:$P,BV_Data_An_Cour!$U:$U,$B95,BV_Data_An_Cour!$V:$V,$C95,BV_Data_An_Cour!$W:$W,J$2)</f>
        <v>27</v>
      </c>
      <c r="K95" s="184">
        <f>IF(J95=0,0,L95/J95)</f>
        <v>1732.0948148148118</v>
      </c>
      <c r="L95" s="478">
        <f>-SUMIFS(BV_Data_An_Cour!$P:$P,BV_Data_An_Cour!$U:$U,$B95,BV_Data_An_Cour!$V:$V,$C95,BV_Data_An_Cour!$W:$W,$L2)</f>
        <v>46766.559999999918</v>
      </c>
      <c r="M95" s="187">
        <f>J95-D95</f>
        <v>3</v>
      </c>
      <c r="N95" s="185">
        <f>L95-F95</f>
        <v>8366.5599999999176</v>
      </c>
      <c r="O95" s="187" cm="1">
        <f t="array" ref="O95">+SUMPRODUCT(('Réel 2024'!$A$8:$A$501=$A95)*('Réel 2024'!$C$3:$AO$3=O$2),'Réel 2024'!$C$8:$AO$501)</f>
        <v>22</v>
      </c>
      <c r="P95" s="184">
        <f t="shared" si="24"/>
        <v>2004.648636363632</v>
      </c>
      <c r="Q95" s="478" cm="1">
        <f t="array" ref="Q95">+SUMPRODUCT(('Réel 2024'!$A$8:$A$501=$A95)*('Réel 2024'!$C$3:$AO$3=Q$2),'Réel 2024'!$C$8:$AO$501)</f>
        <v>44102.269999999902</v>
      </c>
      <c r="R95" s="187">
        <f>J95-O95</f>
        <v>5</v>
      </c>
      <c r="S95" s="350">
        <f>L95-Q95</f>
        <v>2664.2900000000154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2812</v>
      </c>
      <c r="D96" s="184" cm="1">
        <f t="array" ref="D96">+SUMPRODUCT(('Budget original'!$A$8:$A$501=$A96)*('Budget original'!$C$3:$AO$3=D$2),'Budget original'!$C$8:$AO$501)</f>
        <v>24</v>
      </c>
      <c r="E96" s="189">
        <f t="shared" si="23"/>
        <v>1500</v>
      </c>
      <c r="F96" s="184" cm="1">
        <f t="array" ref="F96">+SUMPRODUCT(('Budget original'!$A$8:$A$501=$A96)*('Budget original'!$C$3:$AO$3=F$2),'Budget original'!$C$8:$AO$501)</f>
        <v>36000</v>
      </c>
      <c r="G96" s="187"/>
      <c r="H96" s="184"/>
      <c r="I96" s="184"/>
      <c r="J96" s="187">
        <f>-SUMIFS(BV_Data_An_Cour!$P:$P,BV_Data_An_Cour!$U:$U,$B96,BV_Data_An_Cour!$V:$V,$C96,BV_Data_An_Cour!$W:$W,J$2)</f>
        <v>21</v>
      </c>
      <c r="K96" s="184">
        <f>IF(J96=0,0,L96/J96)</f>
        <v>1569.4680952380975</v>
      </c>
      <c r="L96" s="478">
        <f>-SUMIFS(BV_Data_An_Cour!$P:$P,BV_Data_An_Cour!$U:$U,$B96,BV_Data_An_Cour!$V:$V,$C96,BV_Data_An_Cour!$W:$W,$L2)</f>
        <v>32958.830000000045</v>
      </c>
      <c r="M96" s="187">
        <f>J96-D96</f>
        <v>-3</v>
      </c>
      <c r="N96" s="185">
        <f>L96-F96</f>
        <v>-3041.1699999999546</v>
      </c>
      <c r="O96" s="187" cm="1">
        <f t="array" ref="O96">+SUMPRODUCT(('Réel 2024'!$A$8:$A$501=$A96)*('Réel 2024'!$C$3:$AO$3=O$2),'Réel 2024'!$C$8:$AO$501)</f>
        <v>21</v>
      </c>
      <c r="P96" s="184">
        <f t="shared" si="24"/>
        <v>1027.3219047619048</v>
      </c>
      <c r="Q96" s="478" cm="1">
        <f t="array" ref="Q96">+SUMPRODUCT(('Réel 2024'!$A$8:$A$501=$A96)*('Réel 2024'!$C$3:$AO$3=Q$2),'Réel 2024'!$C$8:$AO$501)</f>
        <v>21573.760000000002</v>
      </c>
      <c r="R96" s="187">
        <f>J96-O96</f>
        <v>0</v>
      </c>
      <c r="S96" s="350">
        <f>L96-Q96</f>
        <v>11385.070000000043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72</v>
      </c>
      <c r="E97" s="184">
        <f t="shared" si="23"/>
        <v>1800</v>
      </c>
      <c r="F97" s="352">
        <f>+F94+F95+F96</f>
        <v>129600</v>
      </c>
      <c r="G97" s="353"/>
      <c r="H97" s="351"/>
      <c r="I97" s="352"/>
      <c r="J97" s="353">
        <f>+J94+J95+J96</f>
        <v>66</v>
      </c>
      <c r="K97" s="351">
        <f>IF(J97&lt;=0,0,L97/J97)</f>
        <v>1995.3736363636374</v>
      </c>
      <c r="L97" s="352">
        <f>+L94+L95+L96</f>
        <v>131694.66000000006</v>
      </c>
      <c r="M97" s="353">
        <f>J97-D97</f>
        <v>-6</v>
      </c>
      <c r="N97" s="352">
        <f>L97-F97</f>
        <v>2094.6600000000617</v>
      </c>
      <c r="O97" s="353">
        <f>+O95+O94+O96</f>
        <v>67</v>
      </c>
      <c r="P97" s="351">
        <f t="shared" si="24"/>
        <v>1863.582835820891</v>
      </c>
      <c r="Q97" s="352">
        <f>+Q94+Q95+Q96</f>
        <v>124860.0499999997</v>
      </c>
      <c r="R97" s="353">
        <f>R94+R95</f>
        <v>-1</v>
      </c>
      <c r="S97" s="354" t="s">
        <v>76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-8.3333333333333329E-2</v>
      </c>
      <c r="N98" s="239">
        <f>N97/F97</f>
        <v>1.6162500000000475E-2</v>
      </c>
      <c r="O98" s="228"/>
      <c r="P98" s="183"/>
      <c r="Q98" s="270"/>
      <c r="R98" s="240">
        <f>R97/O97</f>
        <v>-1.4925373134328358E-2</v>
      </c>
      <c r="S98" s="267" t="e">
        <f>IF(Q97=0,0,(S97/Q97))</f>
        <v>#VALUE!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69</v>
      </c>
      <c r="E100" s="184">
        <f t="shared" si="23"/>
        <v>350</v>
      </c>
      <c r="F100" s="184" cm="1">
        <f t="array" ref="F100">+SUMPRODUCT(('Budget original'!$A$8:$A$501=$A100)*('Budget original'!$C$3:$AO$3=F$2),'Budget original'!$C$8:$AO$501)</f>
        <v>24150</v>
      </c>
      <c r="G100" s="187"/>
      <c r="H100" s="184"/>
      <c r="I100" s="184"/>
      <c r="J100" s="187">
        <f>-SUMIFS(BV_Data_An_Cour!$P:$P,BV_Data_An_Cour!$U:$U,$B100,BV_Data_An_Cour!$V:$V,$C100,BV_Data_An_Cour!$W:$W,J$2)</f>
        <v>55</v>
      </c>
      <c r="K100" s="184">
        <f>IF(J100=0,0,L100/J100)</f>
        <v>424.97781818181869</v>
      </c>
      <c r="L100" s="185">
        <f>-SUMIFS(BV_Data_An_Cour!$P:$P,BV_Data_An_Cour!$U:$U,$B100,BV_Data_An_Cour!$V:$V,$C100,BV_Data_An_Cour!$W:$W,L$2)</f>
        <v>23373.780000000028</v>
      </c>
      <c r="M100" s="187">
        <f>J100-D100</f>
        <v>-14</v>
      </c>
      <c r="N100" s="185">
        <f>L100-F100</f>
        <v>-776.21999999997206</v>
      </c>
      <c r="O100" s="187" cm="1">
        <f t="array" ref="O100">+SUMPRODUCT(('Réel 2024'!$A$8:$A$501=$A100)*('Réel 2024'!$C$3:$AO$3=O$2),'Réel 2024'!$C$8:$AO$501)</f>
        <v>53</v>
      </c>
      <c r="P100" s="184">
        <f t="shared" si="24"/>
        <v>358.05716981131945</v>
      </c>
      <c r="Q100" s="185" cm="1">
        <f t="array" ref="Q100">+SUMPRODUCT(('Réel 2024'!$A$8:$A$501=$A100)*('Réel 2024'!$C$3:$AO$3=Q$2),'Réel 2024'!$C$8:$AO$501)</f>
        <v>18977.02999999993</v>
      </c>
      <c r="R100" s="187">
        <f>J100-O100</f>
        <v>2</v>
      </c>
      <c r="S100" s="350">
        <f>L100-Q100</f>
        <v>4396.7500000000982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27360</v>
      </c>
      <c r="G102" s="187"/>
      <c r="H102" s="184"/>
      <c r="I102" s="184"/>
      <c r="J102" s="187"/>
      <c r="K102" s="184">
        <f>IF(J97=0,0,L102/J97)</f>
        <v>475.51227272727272</v>
      </c>
      <c r="L102" s="185">
        <f>-SUMIFS(BV_Data_An_Cour!$P:$P,BV_Data_An_Cour!$U:$U,$B102,BV_Data_An_Cour!$V:$V,$C102,BV_Data_An_Cour!$W:$W,$L2)</f>
        <v>31383.809999999998</v>
      </c>
      <c r="M102" s="187"/>
      <c r="N102" s="185">
        <f>L102-F102</f>
        <v>4023.8099999999977</v>
      </c>
      <c r="O102" s="187" cm="1">
        <f t="array" ref="O102">+SUMPRODUCT(('Réel 2024'!$A$8:$A$501=$A102)*('Réel 2024'!$C$3:$AO$3=O$2),'Réel 2024'!$C$8:$AO$501)</f>
        <v>0</v>
      </c>
      <c r="P102" s="184">
        <f t="shared" ref="P102:P105" si="27">IF(O102=0,0,Q102/O102)</f>
        <v>0</v>
      </c>
      <c r="Q102" s="185" cm="1">
        <f t="array" ref="Q102">+SUMPRODUCT(('Réel 2024'!$A$8:$A$501=$A102)*('Réel 2024'!$C$3:$AO$3=Q$2),'Réel 2024'!$C$8:$AO$501)</f>
        <v>27030.560000000001</v>
      </c>
      <c r="R102" s="187">
        <f>O102-K102</f>
        <v>-475.51227272727272</v>
      </c>
      <c r="S102" s="350">
        <f>L102-Q102</f>
        <v>4353.2499999999964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61200</v>
      </c>
      <c r="G103" s="187"/>
      <c r="H103" s="184"/>
      <c r="I103" s="184"/>
      <c r="J103" s="187"/>
      <c r="K103" s="184">
        <f>IF(J97=0,0,L103/J97)</f>
        <v>884.12727272727307</v>
      </c>
      <c r="L103" s="185">
        <f>-SUMIFS(BV_Data_An_Cour!$P:$P,BV_Data_An_Cour!$U:$U,$B103,BV_Data_An_Cour!$V:$V,$C103,BV_Data_An_Cour!$W:$W,$L2)</f>
        <v>58352.400000000023</v>
      </c>
      <c r="M103" s="187"/>
      <c r="N103" s="185">
        <f>L103-F103</f>
        <v>-2847.5999999999767</v>
      </c>
      <c r="O103" s="187" cm="1">
        <f t="array" ref="O103">+SUMPRODUCT(('Réel 2024'!$A$8:$A$501=$A103)*('Réel 2024'!$C$3:$AO$3=O$2),'Réel 2024'!$C$8:$AO$501)</f>
        <v>0</v>
      </c>
      <c r="P103" s="184">
        <f t="shared" si="27"/>
        <v>0</v>
      </c>
      <c r="Q103" s="185" cm="1">
        <f t="array" ref="Q103">+SUMPRODUCT(('Réel 2024'!$A$8:$A$501=$A103)*('Réel 2024'!$C$3:$AO$3=Q$2),'Réel 2024'!$C$8:$AO$501)</f>
        <v>56251.46</v>
      </c>
      <c r="R103" s="187">
        <f>O103-K103</f>
        <v>-884.12727272727307</v>
      </c>
      <c r="S103" s="350">
        <f>L103-Q103</f>
        <v>2100.9400000000242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15840</v>
      </c>
      <c r="G104" s="187"/>
      <c r="H104" s="357"/>
      <c r="I104" s="184"/>
      <c r="J104" s="187"/>
      <c r="K104" s="357">
        <f>IF(J97=0,0,L104/J97)</f>
        <v>168.48106060606059</v>
      </c>
      <c r="L104" s="185">
        <f>-SUMIFS(BV_Data_An_Cour!$P:$P,BV_Data_An_Cour!$U:$U,$B104,BV_Data_An_Cour!$V:$V,$C104,BV_Data_An_Cour!$W:$W,$L$2)</f>
        <v>11119.75</v>
      </c>
      <c r="M104" s="356"/>
      <c r="N104" s="185">
        <f>L104-F104</f>
        <v>-4720.25</v>
      </c>
      <c r="O104" s="187" cm="1">
        <f t="array" ref="O104">+SUMPRODUCT(('Réel 2024'!$A$8:$A$501=$A104)*('Réel 2024'!$C$3:$AO$3=O$2),'Réel 2024'!$C$8:$AO$501)</f>
        <v>21</v>
      </c>
      <c r="P104" s="357">
        <f t="shared" si="27"/>
        <v>555.09714285714233</v>
      </c>
      <c r="Q104" s="185" cm="1">
        <f t="array" ref="Q104">+SUMPRODUCT(('Réel 2024'!$A$8:$A$501=$A104)*('Réel 2024'!$C$3:$AO$3=Q$2),'Réel 2024'!$C$8:$AO$501)</f>
        <v>11657.03999999999</v>
      </c>
      <c r="R104" s="187">
        <f>O104-K104</f>
        <v>-147.48106060606059</v>
      </c>
      <c r="S104" s="350">
        <f>L104-Q104</f>
        <v>-537.28999999998996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72</v>
      </c>
      <c r="E105" s="184">
        <f t="shared" si="26"/>
        <v>1450</v>
      </c>
      <c r="F105" s="352">
        <f>F102+F103+F104</f>
        <v>104400</v>
      </c>
      <c r="G105" s="353"/>
      <c r="H105" s="351"/>
      <c r="I105" s="352"/>
      <c r="J105" s="353">
        <f>J97</f>
        <v>66</v>
      </c>
      <c r="K105" s="351">
        <f>IF(J105&lt;=0,0,L105/J105)</f>
        <v>1528.1206060606064</v>
      </c>
      <c r="L105" s="352">
        <f>L102+L103+L104</f>
        <v>100855.96000000002</v>
      </c>
      <c r="M105" s="187">
        <f>J105-D105</f>
        <v>-6</v>
      </c>
      <c r="N105" s="352">
        <f>L105-F105</f>
        <v>-3544.039999999979</v>
      </c>
      <c r="O105" s="353">
        <f>O97</f>
        <v>67</v>
      </c>
      <c r="P105" s="351">
        <f t="shared" si="27"/>
        <v>1417.000895522388</v>
      </c>
      <c r="Q105" s="352">
        <f>Q102+Q103+Q104</f>
        <v>94939.06</v>
      </c>
      <c r="R105" s="361"/>
      <c r="S105" s="354">
        <f>L105-Q105</f>
        <v>5916.9000000000233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-3.3946743295018955E-2</v>
      </c>
      <c r="O106" s="228"/>
      <c r="P106" s="183"/>
      <c r="Q106" s="230"/>
      <c r="R106" s="229"/>
      <c r="S106" s="267">
        <f>IF(Q105=0,0,(S105/Q105))</f>
        <v>6.2323136546749286E-2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141</v>
      </c>
      <c r="E108" s="30">
        <f>IF(D108&lt;=0,0,F108/D108)</f>
        <v>1830.8510638297873</v>
      </c>
      <c r="F108" s="28">
        <f>F97+F105+F100</f>
        <v>258150</v>
      </c>
      <c r="G108" s="29"/>
      <c r="H108" s="30"/>
      <c r="I108" s="28"/>
      <c r="J108" s="29">
        <f>J97+J100</f>
        <v>121</v>
      </c>
      <c r="K108" s="30">
        <f>IF(J108&lt;=0,0,L108/J108)</f>
        <v>2115.077685950414</v>
      </c>
      <c r="L108" s="28">
        <f>L97+L105+L100</f>
        <v>255924.40000000011</v>
      </c>
      <c r="M108" s="29">
        <f>J108-D108</f>
        <v>-20</v>
      </c>
      <c r="N108" s="28">
        <f>L108-F108</f>
        <v>-2225.5999999998894</v>
      </c>
      <c r="O108" s="29">
        <f>O97+O100</f>
        <v>120</v>
      </c>
      <c r="P108" s="30">
        <f>IF(O108&lt;=0,0,Q108/O108)</f>
        <v>1989.8011666666637</v>
      </c>
      <c r="Q108" s="28">
        <f>Q97+Q105+Q100</f>
        <v>238776.13999999964</v>
      </c>
      <c r="R108" s="29">
        <f>J108-O108</f>
        <v>1</v>
      </c>
      <c r="S108" s="326">
        <f>L108-Q108</f>
        <v>17148.260000000475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-0.14184397163120568</v>
      </c>
      <c r="N109" s="34">
        <f>N108/F108</f>
        <v>-8.6213441797400332E-3</v>
      </c>
      <c r="O109" s="31"/>
      <c r="P109" s="328"/>
      <c r="Q109" s="32"/>
      <c r="R109" s="33">
        <f>O108/R108</f>
        <v>120</v>
      </c>
      <c r="S109" s="362">
        <f>IF(Q108=0,0,(S108/Q108))</f>
        <v>7.1817309719474073E-2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0.34627264557021897</v>
      </c>
      <c r="E112" s="200">
        <f t="shared" ref="E112:E121" si="28">F112/D$97</f>
        <v>623.29076202639419</v>
      </c>
      <c r="F112" s="184" cm="1">
        <f t="array" ref="F112">+SUMPRODUCT(('Budget original'!$A$8:$A$501=$A112)*('Budget original'!$C$3:$AO$3=F$2),'Budget original'!$C$8:$AO$501)</f>
        <v>44876.934865900381</v>
      </c>
      <c r="G112" s="298"/>
      <c r="H112" s="200"/>
      <c r="I112" s="184"/>
      <c r="J112" s="298">
        <f>L112/L97</f>
        <v>0.318900781550292</v>
      </c>
      <c r="K112" s="200">
        <f>IF($J$97=0,0,L112/(J$94+J$95+J96))</f>
        <v>636.32621212121205</v>
      </c>
      <c r="L112" s="185">
        <f>SUMIFS(BV_Data_An_Cour!$P:$P,BV_Data_An_Cour!$U:$U,$B112,BV_Data_An_Cour!$V:$V,$C112,BV_Data_An_Cour!$W:$W,$L$2)</f>
        <v>41997.53</v>
      </c>
      <c r="M112" s="228"/>
      <c r="N112" s="230">
        <f t="shared" ref="N112:N153" si="29">L112-F112</f>
        <v>-2879.404865900382</v>
      </c>
      <c r="O112" s="298">
        <f>Q112/Q97</f>
        <v>0.3743641781338396</v>
      </c>
      <c r="P112" s="200">
        <f t="shared" ref="P112:P121" si="30">Q112/O$97</f>
        <v>697.65865671641802</v>
      </c>
      <c r="Q112" s="185" cm="1">
        <f t="array" ref="Q112">+SUMPRODUCT(('Réel 2024'!$A$8:$A$501=$A112)*('Réel 2024'!$C$3:$AO$3=Q$2),'Réel 2024'!$C$8:$AO$501)</f>
        <v>46743.130000000005</v>
      </c>
      <c r="R112" s="228"/>
      <c r="S112" s="202">
        <f t="shared" ref="S112:S122" si="31">L112-Q112</f>
        <v>-4745.6000000000058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0.25151721449306852</v>
      </c>
      <c r="E113" s="363">
        <f t="shared" si="28"/>
        <v>398.75</v>
      </c>
      <c r="F113" s="182" cm="1">
        <f t="array" ref="F113">+SUMPRODUCT(('Budget original'!$A$8:$A$501=$A113)*('Budget original'!$C$3:$AO$3=F$2),'Budget original'!$C$8:$AO$501)</f>
        <v>28710</v>
      </c>
      <c r="G113" s="325"/>
      <c r="H113" s="363"/>
      <c r="I113" s="182"/>
      <c r="J113" s="325">
        <f>L113/L105</f>
        <v>0.24313932463683846</v>
      </c>
      <c r="K113" s="363">
        <f>IF($J$97=0,0,L113/(J$94+J$95+J96))</f>
        <v>371.54621212121214</v>
      </c>
      <c r="L113" s="185">
        <f>SUMIFS(BV_Data_An_Cour!$P:$P,BV_Data_An_Cour!$U:$U,$B113,BV_Data_An_Cour!$V:$V,$C113,BV_Data_An_Cour!$W:$W,$L$2)</f>
        <v>24522.05</v>
      </c>
      <c r="M113" s="283"/>
      <c r="N113" s="284">
        <f t="shared" si="29"/>
        <v>-4187.9500000000007</v>
      </c>
      <c r="O113" s="325">
        <f>Q113/(Q105+Q19)</f>
        <v>0.31493213299237355</v>
      </c>
      <c r="P113" s="363">
        <f t="shared" si="30"/>
        <v>500.00985074626863</v>
      </c>
      <c r="Q113" s="185" cm="1">
        <f t="array" ref="Q113">+SUMPRODUCT(('Réel 2024'!$A$8:$A$501=$A113)*('Réel 2024'!$C$3:$AO$3=Q$2),'Réel 2024'!$C$8:$AO$501)</f>
        <v>33500.659999999996</v>
      </c>
      <c r="R113" s="283"/>
      <c r="S113" s="205">
        <f t="shared" si="31"/>
        <v>-8978.6099999999969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90</v>
      </c>
      <c r="F114" s="184" cm="1">
        <f t="array" ref="F114">+SUMPRODUCT(('Budget original'!$A$8:$A$501=$A114)*('Budget original'!$C$3:$AO$3=F$2),'Budget original'!$C$8:$AO$501)</f>
        <v>6480</v>
      </c>
      <c r="G114" s="274"/>
      <c r="H114" s="200"/>
      <c r="I114" s="184"/>
      <c r="J114" s="228"/>
      <c r="K114" s="200">
        <f>IF($J$97=0,0,L114/(J$94+J$95+J96))</f>
        <v>74.923030303030302</v>
      </c>
      <c r="L114" s="186">
        <f>SUMIFS(BV_Data_An_Cour!$P:$P,BV_Data_An_Cour!$U:$U,$B114,BV_Data_An_Cour!$V:$V,$C114,BV_Data_An_Cour!$W:$W,$L$2)</f>
        <v>4944.92</v>
      </c>
      <c r="M114" s="228"/>
      <c r="N114" s="230">
        <f t="shared" si="29"/>
        <v>-1535.08</v>
      </c>
      <c r="O114" s="228"/>
      <c r="P114" s="200">
        <f t="shared" si="30"/>
        <v>80.2</v>
      </c>
      <c r="Q114" s="186" cm="1">
        <f t="array" ref="Q114">+SUMPRODUCT(('Réel 2024'!$A$8:$A$501=$A114)*('Réel 2024'!$C$3:$AO$3=Q$2),'Réel 2024'!$C$8:$AO$501)</f>
        <v>5373.4000000000005</v>
      </c>
      <c r="R114" s="228"/>
      <c r="S114" s="202">
        <f t="shared" si="31"/>
        <v>-428.48000000000047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94</v>
      </c>
      <c r="F115" s="184" cm="1">
        <f t="array" ref="F115">+SUMPRODUCT(('Budget original'!$A$8:$A$501=$A115)*('Budget original'!$C$3:$AO$3=F$2),'Budget original'!$C$8:$AO$501)</f>
        <v>6768</v>
      </c>
      <c r="G115" s="274"/>
      <c r="H115" s="200"/>
      <c r="I115" s="184"/>
      <c r="J115" s="228"/>
      <c r="K115" s="200">
        <f>IF($J$97=0,0,L115/(J$94+J$95+J96))</f>
        <v>40.841818181818184</v>
      </c>
      <c r="L115" s="185">
        <f>SUMIFS(BV_Data_An_Cour!$P:$P,BV_Data_An_Cour!$U:$U,$B115,BV_Data_An_Cour!$V:$V,$C115,BV_Data_An_Cour!$W:$W,$L$2)</f>
        <v>2695.56</v>
      </c>
      <c r="M115" s="228"/>
      <c r="N115" s="230">
        <f t="shared" si="29"/>
        <v>-4072.44</v>
      </c>
      <c r="O115" s="228"/>
      <c r="P115" s="200">
        <f t="shared" si="30"/>
        <v>73.798059701492548</v>
      </c>
      <c r="Q115" s="185" cm="1">
        <f t="array" ref="Q115">+SUMPRODUCT(('Réel 2024'!$A$8:$A$501=$A115)*('Réel 2024'!$C$3:$AO$3=Q$2),'Réel 2024'!$C$8:$AO$501)</f>
        <v>4944.47</v>
      </c>
      <c r="R115" s="228"/>
      <c r="S115" s="202">
        <f t="shared" si="31"/>
        <v>-2248.9100000000003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104.44444444444444</v>
      </c>
      <c r="F116" s="182" cm="1">
        <f t="array" ref="F116">+SUMPRODUCT(('Budget original'!$A$8:$A$501=$A116)*('Budget original'!$C$3:$AO$3=F$2),'Budget original'!$C$8:$AO$501)</f>
        <v>7520</v>
      </c>
      <c r="G116" s="282"/>
      <c r="H116" s="363"/>
      <c r="I116" s="182"/>
      <c r="J116" s="283"/>
      <c r="K116" s="363">
        <f>IF($J$97=0,0,L116/(J$94+J$95+J96))</f>
        <v>147.06590909090909</v>
      </c>
      <c r="L116" s="355">
        <f>SUMIFS(BV_Data_An_Cour!$P:$P,BV_Data_An_Cour!$U:$U,$B116,BV_Data_An_Cour!$V:$V,$C116,BV_Data_An_Cour!$W:$W,$L$2)</f>
        <v>9706.35</v>
      </c>
      <c r="M116" s="283"/>
      <c r="N116" s="284">
        <f t="shared" si="29"/>
        <v>2186.3500000000004</v>
      </c>
      <c r="O116" s="283"/>
      <c r="P116" s="363">
        <f t="shared" si="30"/>
        <v>99.993432835820897</v>
      </c>
      <c r="Q116" s="355" cm="1">
        <f t="array" ref="Q116">+SUMPRODUCT(('Réel 2024'!$A$8:$A$501=$A116)*('Réel 2024'!$C$3:$AO$3=Q$2),'Réel 2024'!$C$8:$AO$501)</f>
        <v>6699.56</v>
      </c>
      <c r="R116" s="283"/>
      <c r="S116" s="205">
        <f t="shared" si="31"/>
        <v>3006.79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379.16666666666669</v>
      </c>
      <c r="F117" s="184" cm="1">
        <f t="array" ref="F117">+SUMPRODUCT(('Budget original'!$A$8:$A$501=$A117)*('Budget original'!$C$3:$AO$3=F$2),'Budget original'!$C$8:$AO$501)</f>
        <v>27300</v>
      </c>
      <c r="G117" s="274"/>
      <c r="H117" s="200"/>
      <c r="I117" s="184"/>
      <c r="J117" s="228"/>
      <c r="K117" s="200">
        <f t="shared" ref="K117:K121" si="32">IF($J$97=0,0,L117/(J$94+J$95))</f>
        <v>500.1273333333333</v>
      </c>
      <c r="L117" s="185">
        <f>SUMIFS(BV_Data_An_Cour!$P:$P,BV_Data_An_Cour!$U:$U,$B117,BV_Data_An_Cour!$V:$V,$C117,BV_Data_An_Cour!$W:$W,$L$2)</f>
        <v>22505.73</v>
      </c>
      <c r="M117" s="228"/>
      <c r="N117" s="230">
        <f t="shared" si="29"/>
        <v>-4794.2700000000004</v>
      </c>
      <c r="O117" s="228"/>
      <c r="P117" s="200">
        <f t="shared" si="30"/>
        <v>407.25641791044774</v>
      </c>
      <c r="Q117" s="185" cm="1">
        <f t="array" ref="Q117">+SUMPRODUCT(('Réel 2024'!$A$8:$A$501=$A117)*('Réel 2024'!$C$3:$AO$3=Q$2),'Réel 2024'!$C$8:$AO$501)</f>
        <v>27286.18</v>
      </c>
      <c r="R117" s="228"/>
      <c r="S117" s="202">
        <f t="shared" si="31"/>
        <v>-4780.4500000000007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268.40440676229508</v>
      </c>
      <c r="F118" s="184" cm="1">
        <f t="array" ref="F118">+SUMPRODUCT(('Budget original'!$A$8:$A$501=$A118)*('Budget original'!$C$3:$AO$3=F$2),'Budget original'!$C$8:$AO$501)</f>
        <v>19325.117286885245</v>
      </c>
      <c r="G118" s="274"/>
      <c r="H118" s="200"/>
      <c r="I118" s="184"/>
      <c r="J118" s="228"/>
      <c r="K118" s="200">
        <f t="shared" si="32"/>
        <v>393.64555555555552</v>
      </c>
      <c r="L118" s="185">
        <f>SUMIFS(BV_Data_An_Cour!$P:$P,BV_Data_An_Cour!$U:$U,$B118,BV_Data_An_Cour!$V:$V,$C118,BV_Data_An_Cour!$W:$W,$L$2)</f>
        <v>17714.05</v>
      </c>
      <c r="M118" s="228"/>
      <c r="N118" s="230">
        <f t="shared" si="29"/>
        <v>-1611.0672868852453</v>
      </c>
      <c r="O118" s="228"/>
      <c r="P118" s="200">
        <f t="shared" si="30"/>
        <v>523.09701492537317</v>
      </c>
      <c r="Q118" s="185" cm="1">
        <f t="array" ref="Q118">+SUMPRODUCT(('Réel 2024'!$A$8:$A$501=$A118)*('Réel 2024'!$C$3:$AO$3=Q$2),'Réel 2024'!$C$8:$AO$501)</f>
        <v>35047.5</v>
      </c>
      <c r="R118" s="228"/>
      <c r="S118" s="202">
        <f>L118-Q118</f>
        <v>-17333.45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2024'!$A$8:$A$501=$A119)*('Réel 2024'!$C$3:$AO$3=Q$2),'Réel 2024'!$C$8:$AO$501)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2024'!$A$8:$A$501=$A120)*('Réel 2024'!$C$3:$AO$3=Q$2),'Réel 2024'!$C$8:$AO$501)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2024'!$A$8:$A$501=$A121)*('Réel 2024'!$C$3:$AO$3=Q$2),'Réel 2024'!$C$8:$AO$501)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0.54611680090174552</v>
      </c>
      <c r="F122" s="41">
        <f>SUM(F112:F121)</f>
        <v>140980.05215278562</v>
      </c>
      <c r="G122" s="42"/>
      <c r="H122" s="40"/>
      <c r="I122" s="41"/>
      <c r="J122" s="42" t="s">
        <v>108</v>
      </c>
      <c r="K122" s="40">
        <f>L122/L$108</f>
        <v>0.48485486338934447</v>
      </c>
      <c r="L122" s="41">
        <f>SUM(L112:L121)</f>
        <v>124086.19</v>
      </c>
      <c r="M122" s="44"/>
      <c r="N122" s="41">
        <f t="shared" si="29"/>
        <v>-16893.862152785616</v>
      </c>
      <c r="O122" s="42" t="s">
        <v>108</v>
      </c>
      <c r="P122" s="40">
        <f>Q122/Q$108</f>
        <v>0.66838713449342235</v>
      </c>
      <c r="Q122" s="41">
        <f>SUM(Q112:Q121)</f>
        <v>159594.9</v>
      </c>
      <c r="R122" s="44"/>
      <c r="S122" s="290">
        <f t="shared" si="31"/>
        <v>-35508.709999999992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19947.246684350132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17043.55</v>
      </c>
      <c r="M123" s="228"/>
      <c r="N123" s="230">
        <f t="shared" si="29"/>
        <v>-2903.6966843501323</v>
      </c>
      <c r="O123" s="228"/>
      <c r="P123" s="183"/>
      <c r="Q123" s="185" cm="1">
        <f t="array" ref="Q123">+SUMPRODUCT(('Réel 2024'!$A$8:$A$501=$A123)*('Réel 2024'!$C$3:$AO$3=Q$2),'Réel 2024'!$C$8:$AO$501)</f>
        <v>17029.310000000001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11384.726819923371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12352.94</v>
      </c>
      <c r="M124" s="228"/>
      <c r="N124" s="230">
        <f t="shared" si="29"/>
        <v>968.21318007662921</v>
      </c>
      <c r="O124" s="228"/>
      <c r="P124" s="183"/>
      <c r="Q124" s="182" cm="1">
        <f t="array" ref="Q124">+SUMPRODUCT(('Réel 2024'!$A$8:$A$501=$A124)*('Réel 2024'!$C$3:$AO$3=Q$2),'Réel 2024'!$C$8:$AO$501)</f>
        <v>10774.810000000001</v>
      </c>
      <c r="R124" s="228"/>
      <c r="S124" s="202">
        <f t="shared" ref="S124:S153" si="33">L124-Q124</f>
        <v>1578.1299999999992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11236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11236</v>
      </c>
      <c r="M125" s="278"/>
      <c r="N125" s="279">
        <f t="shared" si="29"/>
        <v>0</v>
      </c>
      <c r="O125" s="278"/>
      <c r="P125" s="276"/>
      <c r="Q125" s="185" cm="1">
        <f t="array" ref="Q125">+SUMPRODUCT(('Réel 2024'!$A$8:$A$501=$A125)*('Réel 2024'!$C$3:$AO$3=Q$2),'Réel 2024'!$C$8:$AO$501)</f>
        <v>11236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2024'!$A$8:$A$501=$A126)*('Réel 2024'!$C$3:$AO$3=Q$2),'Réel 2024'!$C$8:$AO$501)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2024'!$A$8:$A$501=$A127)*('Réel 2024'!$C$3:$AO$3=Q$2),'Réel 2024'!$C$8:$AO$501)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2024'!$A$8:$A$501=$A128)*('Réel 2024'!$C$3:$AO$3=Q$2),'Réel 2024'!$C$8:$AO$501)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2024'!$A$8:$A$501=$A129)*('Réel 2024'!$C$3:$AO$3=Q$2),'Réel 2024'!$C$8:$AO$501)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13408.069805122106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16207.53</v>
      </c>
      <c r="M130" s="228"/>
      <c r="N130" s="230">
        <f t="shared" si="29"/>
        <v>2799.4601948778945</v>
      </c>
      <c r="O130" s="228"/>
      <c r="P130" s="183"/>
      <c r="Q130" s="185" cm="1">
        <f t="array" ref="Q130">+SUMPRODUCT(('Réel 2024'!$A$8:$A$501=$A130)*('Réel 2024'!$C$3:$AO$3=Q$2),'Réel 2024'!$C$8:$AO$501)</f>
        <v>14402.859999999999</v>
      </c>
      <c r="R130" s="228"/>
      <c r="S130" s="202">
        <f>L130-Q130</f>
        <v>1804.6700000000019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18268.936255212204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17261.29</v>
      </c>
      <c r="M131" s="278"/>
      <c r="N131" s="279">
        <f t="shared" si="29"/>
        <v>-1007.646255212203</v>
      </c>
      <c r="O131" s="278"/>
      <c r="P131" s="276"/>
      <c r="Q131" s="379" cm="1">
        <f t="array" ref="Q131">+SUMPRODUCT(('Réel 2024'!$A$8:$A$501=$A131)*('Réel 2024'!$C$3:$AO$3=Q$2),'Réel 2024'!$C$8:$AO$501)</f>
        <v>16365.759999999998</v>
      </c>
      <c r="R131" s="278"/>
      <c r="S131" s="204">
        <f t="shared" si="33"/>
        <v>895.53000000000247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8524.3428122015939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8758.81</v>
      </c>
      <c r="M132" s="228"/>
      <c r="N132" s="230">
        <f t="shared" si="29"/>
        <v>234.46718779840558</v>
      </c>
      <c r="O132" s="228"/>
      <c r="P132" s="183"/>
      <c r="Q132" s="185" cm="1">
        <f t="array" ref="Q132">+SUMPRODUCT(('Réel 2024'!$A$8:$A$501=$A132)*('Réel 2024'!$C$3:$AO$3=Q$2),'Réel 2024'!$C$8:$AO$501)</f>
        <v>7471.57</v>
      </c>
      <c r="R132" s="228"/>
      <c r="S132" s="202">
        <f t="shared" si="33"/>
        <v>1287.2399999999998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1826.6448883289122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2705.09</v>
      </c>
      <c r="M133" s="228"/>
      <c r="N133" s="230">
        <f t="shared" si="29"/>
        <v>878.44511167108794</v>
      </c>
      <c r="O133" s="228"/>
      <c r="P133" s="183"/>
      <c r="Q133" s="185" cm="1">
        <f t="array" ref="Q133">+SUMPRODUCT(('Réel 2024'!$A$8:$A$501=$A133)*('Réel 2024'!$C$3:$AO$3=Q$2),'Réel 2024'!$C$8:$AO$501)</f>
        <v>2153.6799999999998</v>
      </c>
      <c r="R133" s="228"/>
      <c r="S133" s="202">
        <f t="shared" si="33"/>
        <v>551.41000000000031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2024'!$A$8:$A$501=$A134)*('Réel 2024'!$C$3:$AO$3=Q$2),'Réel 2024'!$C$8:$AO$501)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0.32770082225503899</v>
      </c>
      <c r="F135" s="41">
        <f>+SUM(F123:F134)</f>
        <v>84595.967265138315</v>
      </c>
      <c r="G135" s="42"/>
      <c r="H135" s="40"/>
      <c r="I135" s="41"/>
      <c r="J135" s="42" t="s">
        <v>108</v>
      </c>
      <c r="K135" s="40">
        <f>L135/L$108</f>
        <v>0.33433783570460635</v>
      </c>
      <c r="L135" s="41">
        <f>SUM(L123:L134)</f>
        <v>85565.209999999992</v>
      </c>
      <c r="M135" s="1046"/>
      <c r="N135" s="1047">
        <f t="shared" si="29"/>
        <v>969.24273486167658</v>
      </c>
      <c r="O135" s="42" t="s">
        <v>108</v>
      </c>
      <c r="P135" s="40">
        <f>Q135/Q$108</f>
        <v>0.3326713883556377</v>
      </c>
      <c r="Q135" s="41">
        <f>+SUM(Q123:Q134)</f>
        <v>79433.989999999991</v>
      </c>
      <c r="R135" s="43"/>
      <c r="S135" s="286">
        <f t="shared" si="33"/>
        <v>6131.2200000000012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2024'!$A$8:$A$501=$A136)*('Réel 2024'!$C$3:$AO$3=Q$2),'Réel 2024'!$C$8:$AO$501)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2024'!$A$8:$A$501=$A137)*('Réel 2024'!$C$3:$AO$3=Q$2),'Réel 2024'!$C$8:$AO$501)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3774.5333333333338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3912.4</v>
      </c>
      <c r="M138" s="283"/>
      <c r="N138" s="284">
        <f t="shared" si="29"/>
        <v>137.86666666666633</v>
      </c>
      <c r="O138" s="283"/>
      <c r="P138" s="281"/>
      <c r="Q138" s="182" cm="1">
        <f t="array" ref="Q138">+SUMPRODUCT(('Réel 2024'!$A$8:$A$501=$A138)*('Réel 2024'!$C$3:$AO$3=Q$2),'Réel 2024'!$C$8:$AO$501)</f>
        <v>4350.92</v>
      </c>
      <c r="R138" s="283"/>
      <c r="S138" s="205">
        <f t="shared" si="33"/>
        <v>-438.52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5701.6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5849.98</v>
      </c>
      <c r="M139" s="228"/>
      <c r="N139" s="230">
        <f t="shared" si="29"/>
        <v>148.3799999999992</v>
      </c>
      <c r="O139" s="228"/>
      <c r="P139" s="183"/>
      <c r="Q139" s="185" cm="1">
        <f t="array" ref="Q139">+SUMPRODUCT(('Réel 2024'!$A$8:$A$501=$A139)*('Réel 2024'!$C$3:$AO$3=Q$2),'Réel 2024'!$C$8:$AO$501)</f>
        <v>5123.3999999999996</v>
      </c>
      <c r="R139" s="228"/>
      <c r="S139" s="202">
        <f t="shared" si="33"/>
        <v>726.57999999999993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733.33333333333337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713.96</v>
      </c>
      <c r="M140" s="228"/>
      <c r="N140" s="230">
        <f t="shared" si="29"/>
        <v>-19.373333333333335</v>
      </c>
      <c r="O140" s="228"/>
      <c r="P140" s="183"/>
      <c r="Q140" s="185" cm="1">
        <f t="array" ref="Q140">+SUMPRODUCT(('Réel 2024'!$A$8:$A$501=$A140)*('Réel 2024'!$C$3:$AO$3=Q$2),'Réel 2024'!$C$8:$AO$501)</f>
        <v>1008.3599999999999</v>
      </c>
      <c r="R140" s="228"/>
      <c r="S140" s="202">
        <f t="shared" si="33"/>
        <v>-294.39999999999986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2946.4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3303.29</v>
      </c>
      <c r="M141" s="283"/>
      <c r="N141" s="284">
        <f t="shared" si="29"/>
        <v>356.88999999999987</v>
      </c>
      <c r="O141" s="283"/>
      <c r="P141" s="281"/>
      <c r="Q141" s="182" cm="1">
        <f t="array" ref="Q141">+SUMPRODUCT(('Réel 2024'!$A$8:$A$501=$A141)*('Réel 2024'!$C$3:$AO$3=Q$2),'Réel 2024'!$C$8:$AO$501)</f>
        <v>2869.2799999999997</v>
      </c>
      <c r="R141" s="283"/>
      <c r="S141" s="205">
        <f t="shared" si="33"/>
        <v>434.01000000000022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70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81.61</v>
      </c>
      <c r="M142" s="228"/>
      <c r="N142" s="230">
        <f t="shared" si="29"/>
        <v>11.61</v>
      </c>
      <c r="O142" s="228"/>
      <c r="P142" s="183"/>
      <c r="Q142" s="185" cm="1">
        <f t="array" ref="Q142">+SUMPRODUCT(('Réel 2024'!$A$8:$A$501=$A142)*('Réel 2024'!$C$3:$AO$3=Q$2),'Réel 2024'!$C$8:$AO$501)</f>
        <v>5</v>
      </c>
      <c r="R142" s="228"/>
      <c r="S142" s="202">
        <f t="shared" si="33"/>
        <v>76.61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40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79.98</v>
      </c>
      <c r="M143" s="228"/>
      <c r="N143" s="230">
        <f t="shared" si="29"/>
        <v>39.980000000000004</v>
      </c>
      <c r="O143" s="228"/>
      <c r="P143" s="183"/>
      <c r="Q143" s="185" cm="1">
        <f t="array" ref="Q143">+SUMPRODUCT(('Réel 2024'!$A$8:$A$501=$A143)*('Réel 2024'!$C$3:$AO$3=Q$2),'Réel 2024'!$C$8:$AO$501)</f>
        <v>0</v>
      </c>
      <c r="R143" s="228"/>
      <c r="S143" s="202">
        <f t="shared" si="33"/>
        <v>79.98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630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680.36</v>
      </c>
      <c r="M144" s="228"/>
      <c r="N144" s="230">
        <f t="shared" si="29"/>
        <v>50.360000000000014</v>
      </c>
      <c r="O144" s="228"/>
      <c r="P144" s="183"/>
      <c r="Q144" s="478" cm="1">
        <f t="array" ref="Q144">+SUMPRODUCT(('Réel 2024'!$A$8:$A$501=$A144)*('Réel 2024'!$C$3:$AO$3=Q$2),'Réel 2024'!$C$8:$AO$501)</f>
        <v>544.16</v>
      </c>
      <c r="R144" s="228"/>
      <c r="S144" s="202">
        <f t="shared" si="33"/>
        <v>136.20000000000005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252.8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439.56</v>
      </c>
      <c r="M145" s="228"/>
      <c r="N145" s="230">
        <f t="shared" si="29"/>
        <v>186.76</v>
      </c>
      <c r="O145" s="228"/>
      <c r="P145" s="183"/>
      <c r="Q145" s="185" cm="1">
        <f t="array" ref="Q145">+SUMPRODUCT(('Réel 2024'!$A$8:$A$501=$A145)*('Réel 2024'!$C$3:$AO$3=Q$2),'Réel 2024'!$C$8:$AO$501)</f>
        <v>325.12</v>
      </c>
      <c r="R145" s="228"/>
      <c r="S145" s="202">
        <f t="shared" si="33"/>
        <v>114.44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180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204.1</v>
      </c>
      <c r="M146" s="228"/>
      <c r="N146" s="230">
        <f t="shared" si="29"/>
        <v>24.099999999999994</v>
      </c>
      <c r="O146" s="228"/>
      <c r="P146" s="183"/>
      <c r="Q146" s="185" cm="1">
        <f t="array" ref="Q146">+SUMPRODUCT(('Réel 2024'!$A$8:$A$501=$A146)*('Réel 2024'!$C$3:$AO$3=Q$2),'Réel 2024'!$C$8:$AO$501)</f>
        <v>475.55999999999995</v>
      </c>
      <c r="R146" s="228"/>
      <c r="S146" s="202">
        <f t="shared" si="33"/>
        <v>-271.45999999999992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696.40000000000009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609.34999999999991</v>
      </c>
      <c r="M147" s="228"/>
      <c r="N147" s="230">
        <f t="shared" si="29"/>
        <v>-87.050000000000182</v>
      </c>
      <c r="O147" s="228"/>
      <c r="P147" s="183"/>
      <c r="Q147" s="185" cm="1">
        <f t="array" ref="Q147">+SUMPRODUCT(('Réel 2024'!$A$8:$A$501=$A147)*('Réel 2024'!$C$3:$AO$3=Q$2),'Réel 2024'!$C$8:$AO$501)</f>
        <v>705.38</v>
      </c>
      <c r="R147" s="228"/>
      <c r="S147" s="202">
        <f t="shared" si="33"/>
        <v>-96.030000000000086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496.16311999999994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400.81</v>
      </c>
      <c r="M148" s="228"/>
      <c r="N148" s="230">
        <f t="shared" si="29"/>
        <v>-95.353119999999933</v>
      </c>
      <c r="O148" s="228"/>
      <c r="P148" s="183"/>
      <c r="Q148" s="185" cm="1">
        <f t="array" ref="Q148">+SUMPRODUCT(('Réel 2024'!$A$8:$A$501=$A148)*('Réel 2024'!$C$3:$AO$3=Q$2),'Réel 2024'!$C$8:$AO$501)</f>
        <v>76.429999999999993</v>
      </c>
      <c r="R148" s="228"/>
      <c r="S148" s="202">
        <f t="shared" si="33"/>
        <v>324.38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2460.4976622743561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2441.8200000000002</v>
      </c>
      <c r="M149" s="228"/>
      <c r="N149" s="230">
        <f t="shared" si="29"/>
        <v>-18.677662274355953</v>
      </c>
      <c r="O149" s="228"/>
      <c r="P149" s="183"/>
      <c r="Q149" s="185" cm="1">
        <f t="array" ref="Q149">+SUMPRODUCT(('Réel 2024'!$A$8:$A$501=$A149)*('Réel 2024'!$C$3:$AO$3=Q$2),'Réel 2024'!$C$8:$AO$501)</f>
        <v>2302.69</v>
      </c>
      <c r="R149" s="228"/>
      <c r="S149" s="202">
        <f>L149-Q149</f>
        <v>139.13000000000011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2024'!$A$8:$A$501=$A150)*('Réel 2024'!$C$3:$AO$3=Q$2),'Réel 2024'!$C$8:$AO$501)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2024'!$A$8:$A$501=$A151)*('Réel 2024'!$C$3:$AO$3=Q$2),'Réel 2024'!$C$8:$AO$501)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2024'!$A$8:$A$501=$A152)*('Réel 2024'!$C$3:$AO$3=Q$2),'Réel 2024'!$C$8:$AO$501)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6.965612027480543E-2</v>
      </c>
      <c r="F153" s="41">
        <f>+SUM(F136:F152)</f>
        <v>17981.727448941023</v>
      </c>
      <c r="G153" s="42"/>
      <c r="H153" s="40"/>
      <c r="I153" s="41"/>
      <c r="J153" s="42" t="s">
        <v>108</v>
      </c>
      <c r="K153" s="40">
        <f>L153/L$108</f>
        <v>7.3135738522782476E-2</v>
      </c>
      <c r="L153" s="41">
        <f>+SUM(L136:L152)</f>
        <v>18717.22</v>
      </c>
      <c r="M153" s="44"/>
      <c r="N153" s="41">
        <f t="shared" si="29"/>
        <v>735.49255105897828</v>
      </c>
      <c r="O153" s="42" t="s">
        <v>108</v>
      </c>
      <c r="P153" s="40">
        <f>Q153/Q$108</f>
        <v>7.4489436004786858E-2</v>
      </c>
      <c r="Q153" s="41">
        <f>+SUM(Q136:Q152)</f>
        <v>17786.3</v>
      </c>
      <c r="R153" s="44"/>
      <c r="S153" s="290">
        <f t="shared" si="33"/>
        <v>930.92000000000189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0.94347374343159007</v>
      </c>
      <c r="F155" s="41">
        <f>F122+F135+F153</f>
        <v>243557.74686686497</v>
      </c>
      <c r="G155" s="42"/>
      <c r="H155" s="40"/>
      <c r="I155" s="41"/>
      <c r="J155" s="42" t="s">
        <v>108</v>
      </c>
      <c r="K155" s="40">
        <f>L155/L$108</f>
        <v>0.89232843761673331</v>
      </c>
      <c r="L155" s="41">
        <f>L122+L135+L153</f>
        <v>228368.62</v>
      </c>
      <c r="M155" s="44"/>
      <c r="N155" s="46">
        <f t="shared" ref="N155:N162" si="34">L155-F155</f>
        <v>-15189.126866864972</v>
      </c>
      <c r="O155" s="42" t="s">
        <v>108</v>
      </c>
      <c r="P155" s="40">
        <f>Q155/Q$108</f>
        <v>1.0755479588538468</v>
      </c>
      <c r="Q155" s="41">
        <f>Q122+Q135+Q153</f>
        <v>256815.18999999997</v>
      </c>
      <c r="R155" s="44"/>
      <c r="S155" s="286">
        <f t="shared" ref="S155:S162" si="35">L155-Q155</f>
        <v>-28446.569999999978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9000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5500</v>
      </c>
      <c r="M156" s="228"/>
      <c r="N156" s="230">
        <f t="shared" si="34"/>
        <v>-3500</v>
      </c>
      <c r="O156" s="366"/>
      <c r="P156" s="365"/>
      <c r="Q156" s="185" cm="1">
        <f t="array" ref="Q156">+SUMPRODUCT(('Réel 2024'!$A$8:$A$501=$A156)*('Réel 2024'!$C$3:$AO$3=Q$2),'Réel 2024'!$C$8:$AO$501)</f>
        <v>7425</v>
      </c>
      <c r="R156" s="228"/>
      <c r="S156" s="202">
        <f t="shared" si="35"/>
        <v>-1925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3216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775</v>
      </c>
      <c r="M157" s="228"/>
      <c r="N157" s="230">
        <f t="shared" si="34"/>
        <v>-2441</v>
      </c>
      <c r="O157" s="366"/>
      <c r="P157" s="365"/>
      <c r="Q157" s="185" cm="1">
        <f t="array" ref="Q157">+SUMPRODUCT(('Réel 2024'!$A$8:$A$501=$A157)*('Réel 2024'!$C$3:$AO$3=Q$2),'Réel 2024'!$C$8:$AO$501)</f>
        <v>26075</v>
      </c>
      <c r="R157" s="228"/>
      <c r="S157" s="202">
        <f t="shared" si="35"/>
        <v>-25300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2024'!$A$8:$A$501=$A158)*('Réel 2024'!$C$3:$AO$3=Q$2),'Réel 2024'!$C$8:$AO$501)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35557.199999999997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32725</v>
      </c>
      <c r="M159" s="228"/>
      <c r="N159" s="230">
        <f t="shared" si="34"/>
        <v>-2832.1999999999971</v>
      </c>
      <c r="O159" s="228"/>
      <c r="P159" s="183"/>
      <c r="Q159" s="185" cm="1">
        <f t="array" ref="Q159">+SUMPRODUCT(('Réel 2024'!$A$8:$A$501=$A159)*('Réel 2024'!$C$3:$AO$3=Q$2),'Réel 2024'!$C$8:$AO$501)</f>
        <v>32130</v>
      </c>
      <c r="R159" s="228"/>
      <c r="S159" s="202">
        <f t="shared" si="35"/>
        <v>595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2024'!$A$8:$A$501=$A160)*('Réel 2024'!$C$3:$AO$3=Q$2),'Réel 2024'!$C$8:$AO$501)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2024'!$A$8:$A$501=$A161)*('Réel 2024'!$C$3:$AO$3=Q$2),'Réel 2024'!$C$8:$AO$501)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2024'!$A$8:$A$501=$A162)*('Réel 2024'!$C$3:$AO$3=Q$2),'Réel 2024'!$C$8:$AO$501)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47773.2</v>
      </c>
      <c r="G163" s="42"/>
      <c r="H163" s="40"/>
      <c r="I163" s="41"/>
      <c r="J163" s="42"/>
      <c r="K163" s="40"/>
      <c r="L163" s="41">
        <f>+SUM(L156:L162)</f>
        <v>39000</v>
      </c>
      <c r="M163" s="44"/>
      <c r="N163" s="41">
        <f>SUM(N156:N159)</f>
        <v>-8773.1999999999971</v>
      </c>
      <c r="O163" s="42"/>
      <c r="P163" s="40"/>
      <c r="Q163" s="41">
        <f>+SUM(Q156:Q162)</f>
        <v>65630</v>
      </c>
      <c r="R163" s="44"/>
      <c r="S163" s="290">
        <f>+SUM(S156:S162)</f>
        <v>-26630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62365.45313313503</v>
      </c>
      <c r="G165" s="312"/>
      <c r="H165" s="310"/>
      <c r="I165" s="311"/>
      <c r="J165" s="313"/>
      <c r="K165" s="314"/>
      <c r="L165" s="311">
        <f>L108-L155+L163</f>
        <v>66555.780000000115</v>
      </c>
      <c r="M165" s="313"/>
      <c r="N165" s="311">
        <f>L165-F165</f>
        <v>4190.3268668650853</v>
      </c>
      <c r="O165" s="313"/>
      <c r="P165" s="314"/>
      <c r="Q165" s="311">
        <f>Q108-Q155+Q163</f>
        <v>47590.949999999662</v>
      </c>
      <c r="R165" s="313"/>
      <c r="S165" s="315">
        <f>L165-Q165</f>
        <v>18964.830000000453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Avril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39" t="s">
        <v>77</v>
      </c>
      <c r="E170" s="1240"/>
      <c r="F170" s="1241"/>
      <c r="G170" s="1244"/>
      <c r="H170" s="1240"/>
      <c r="I170" s="1241"/>
      <c r="J170" s="1244" t="s">
        <v>78</v>
      </c>
      <c r="K170" s="1240"/>
      <c r="L170" s="1241"/>
      <c r="M170" s="1244" t="s">
        <v>2443</v>
      </c>
      <c r="N170" s="1241"/>
      <c r="O170" s="1239" t="s">
        <v>79</v>
      </c>
      <c r="P170" s="1240"/>
      <c r="Q170" s="1241"/>
      <c r="R170" s="1242" t="s">
        <v>2447</v>
      </c>
      <c r="S170" s="1243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180" cm="1">
        <f t="array" ref="D172">+SUMPRODUCT(('Budget original'!$A$8:$A$501=$A172)*('Budget original'!$C$3:$AO$3=D$2),'Budget original'!$C$8:$AO$501)</f>
        <v>600.33348331994489</v>
      </c>
      <c r="E172" s="200" cm="1">
        <f t="array" ref="E172">+SUMPRODUCT(('Budget original'!$A$8:$A$501=$A172)*('Budget original'!$C$3:$AO$3=E$2),'Budget original'!$C$8:$AO$501)</f>
        <v>204113.38432878128</v>
      </c>
      <c r="F172" s="200" cm="1">
        <f t="array" ref="F172">+SUMPRODUCT(('Budget original'!$A$8:$A$501=$A172)*('Budget original'!$C$3:$AO$3=F$2),'Budget original'!$C$8:$AO$501)</f>
        <v>160024.89331376454</v>
      </c>
      <c r="G172" s="316"/>
      <c r="H172" s="200"/>
      <c r="I172" s="200"/>
      <c r="J172" s="229">
        <f>-SUMIFS(BV_Data_An_Cour!$P:$P,BV_Data_An_Cour!$U:$U,$B172,BV_Data_An_Cour!$V:$V,$C172,BV_Data_An_Cour!$W:$W,J$2)</f>
        <v>738</v>
      </c>
      <c r="K172" s="184">
        <f>-SUMIFS(BV_Data_An_Cour!$P:$P,BV_Data_An_Cour!$X:$X,"Oui",BV_Data_An_Cour!$U:$U,$B172,BV_Data_An_Cour!$V:$V,$C172)</f>
        <v>249183.56</v>
      </c>
      <c r="L172" s="185">
        <f>-SUMIFS(BV_Data_An_Cour!$P:$P,BV_Data_An_Cour!$U:$U,$B172,BV_Data_An_Cour!$V:$V,$C172,BV_Data_An_Cour!$W:$W,$L$2)</f>
        <v>197753.93000000002</v>
      </c>
      <c r="M172" s="298">
        <f>(K172-E172)/E172</f>
        <v>0.22080950653691914</v>
      </c>
      <c r="N172" s="230">
        <f>L172-F172</f>
        <v>37729.036686235486</v>
      </c>
      <c r="O172" s="229" cm="1">
        <f t="array" ref="O172">+SUMPRODUCT(('Réel 2024'!$A$8:$A$501=$A172)*('Réel 2024'!$C$3:$AO$3=O$2),'Réel 2024'!$C$8:$AO$501)</f>
        <v>643</v>
      </c>
      <c r="P172" s="184" cm="1">
        <f t="array" ref="P172">+SUMPRODUCT(('Réel 2024'!$A$8:$A$501=$A172)*('Réel 2024'!$C$3:$AO$3=P$2),'Réel 2024'!$C$8:$AO$501)</f>
        <v>185862.4599999999</v>
      </c>
      <c r="Q172" s="185" cm="1">
        <f t="array" ref="Q172">+SUMPRODUCT(('Réel 2024'!$A$8:$A$501=$A172)*('Réel 2024'!$C$3:$AO$3=Q$2),'Réel 2024'!$C$8:$AO$501)</f>
        <v>145050.89999999991</v>
      </c>
      <c r="R172" s="298">
        <f>IF(O172=0,0,J172/O172)</f>
        <v>1.1477449455676516</v>
      </c>
      <c r="S172" s="202">
        <f>L172-Q172</f>
        <v>52703.030000000115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180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0.7936074514707151</v>
      </c>
      <c r="M173" s="298"/>
      <c r="N173" s="230"/>
      <c r="O173" s="229"/>
      <c r="P173" s="183"/>
      <c r="Q173" s="232">
        <f>Q172/P172</f>
        <v>0.78042064007976641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1181"/>
      <c r="E174" s="322">
        <f>IFERROR(E172/D172,0)</f>
        <v>340</v>
      </c>
      <c r="F174" s="323"/>
      <c r="G174" s="283"/>
      <c r="H174" s="322"/>
      <c r="I174" s="323"/>
      <c r="J174" s="307"/>
      <c r="K174" s="502">
        <f>IFERROR(K172/J172,0)</f>
        <v>337.64710027100273</v>
      </c>
      <c r="L174" s="323"/>
      <c r="M174" s="325"/>
      <c r="N174" s="284"/>
      <c r="O174" s="307"/>
      <c r="P174" s="502">
        <f>IFERROR(P172/O172,0)</f>
        <v>289.05514774494543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1182" cm="1">
        <f t="array" ref="D175">+SUMPRODUCT(('Budget original'!$A$8:$A$501=$A175)*('Budget original'!$C$3:$AO$3=D$2),'Budget original'!$C$8:$AO$501)</f>
        <v>558.29546397907291</v>
      </c>
      <c r="E175" s="200" cm="1">
        <f t="array" ref="E175">+SUMPRODUCT(('Budget original'!$A$8:$A$501=$A175)*('Budget original'!$C$3:$AO$3=E$2),'Budget original'!$C$8:$AO$501)</f>
        <v>81511.137740944643</v>
      </c>
      <c r="F175" s="200" cm="1">
        <f t="array" ref="F175">+SUMPRODUCT(('Budget original'!$A$8:$A$501=$A175)*('Budget original'!$C$3:$AO$3=F$2),'Budget original'!$C$8:$AO$501)</f>
        <v>52167.128154204576</v>
      </c>
      <c r="G175" s="319"/>
      <c r="H175" s="200"/>
      <c r="I175" s="200"/>
      <c r="J175" s="319">
        <f>-SUMIFS(BV_Data_An_Cour!$P:$P,BV_Data_An_Cour!$U:$U,$B175,BV_Data_An_Cour!$V:$V,$C175,BV_Data_An_Cour!$W:$W,J$2)</f>
        <v>551</v>
      </c>
      <c r="K175" s="191">
        <f>-SUMIFS(BV_Data_An_Cour!$P:$P,BV_Data_An_Cour!$X:$X,"Oui",BV_Data_An_Cour!$U:$U,$B175,BV_Data_An_Cour!$V:$V,$C175)</f>
        <v>118255.63</v>
      </c>
      <c r="L175" s="185">
        <f>-SUMIFS(BV_Data_An_Cour!$P:$P,BV_Data_An_Cour!$U:$U,$B175,BV_Data_An_Cour!$V:$V,$C175,BV_Data_An_Cour!$W:$W,$L$2)</f>
        <v>76864.920000000013</v>
      </c>
      <c r="M175" s="298">
        <f>(K175-E175)/E175</f>
        <v>0.45079106092022908</v>
      </c>
      <c r="N175" s="279">
        <f>L175-F175</f>
        <v>24697.791845795437</v>
      </c>
      <c r="O175" s="319" cm="1">
        <f t="array" ref="O175">+SUMPRODUCT(('Réel 2024'!$A$8:$A$501=$A175)*('Réel 2024'!$C$3:$AO$3=O$2),'Réel 2024'!$C$8:$AO$501)</f>
        <v>544</v>
      </c>
      <c r="P175" s="191" cm="1">
        <f t="array" ref="P175">+SUMPRODUCT(('Réel 2024'!$A$8:$A$501=$A175)*('Réel 2024'!$C$3:$AO$3=P$2),'Réel 2024'!$C$8:$AO$501)</f>
        <v>78005.849999999904</v>
      </c>
      <c r="Q175" s="185" cm="1">
        <f t="array" ref="Q175">+SUMPRODUCT(('Réel 2024'!$A$8:$A$501=$A175)*('Réel 2024'!$C$3:$AO$3=Q$2),'Réel 2024'!$C$8:$AO$501)</f>
        <v>49822.499999999891</v>
      </c>
      <c r="R175" s="298">
        <f>IF(O175=0,0,J175/O175)</f>
        <v>1.0128676470588236</v>
      </c>
      <c r="S175" s="202">
        <f>L175-Q175</f>
        <v>27042.420000000122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180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0.64998951846943787</v>
      </c>
      <c r="M176" s="240"/>
      <c r="N176" s="239"/>
      <c r="O176" s="228"/>
      <c r="P176" s="183"/>
      <c r="Q176" s="232">
        <f>Q175/P175</f>
        <v>0.63870209734269867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11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180" cm="1">
        <f t="array" ref="D178">+SUMPRODUCT(('Budget original'!$A$8:$A$501=$A178)*('Budget original'!$C$3:$AO$3=D$2),'Budget original'!$C$8:$AO$501)</f>
        <v>601.52026944989336</v>
      </c>
      <c r="E178" s="200" cm="1">
        <f t="array" ref="E178">+SUMPRODUCT(('Budget original'!$A$8:$A$501=$A178)*('Budget original'!$C$3:$AO$3=E$2),'Budget original'!$C$8:$AO$501)</f>
        <v>144364.86466797441</v>
      </c>
      <c r="F178" s="200" cm="1">
        <f t="array" ref="F178">+SUMPRODUCT(('Budget original'!$A$8:$A$501=$A178)*('Budget original'!$C$3:$AO$3=F$2),'Budget original'!$C$8:$AO$501)</f>
        <v>97446.283650882746</v>
      </c>
      <c r="G178" s="228"/>
      <c r="H178" s="200"/>
      <c r="I178" s="200"/>
      <c r="J178" s="229">
        <f>-SUMIFS(BV_Data_An_Cour!$P:$P,BV_Data_An_Cour!$U:$U,$B178,BV_Data_An_Cour!$V:$V,$C178,BV_Data_An_Cour!$W:$W,J$2)</f>
        <v>419</v>
      </c>
      <c r="K178" s="191">
        <f>-SUMIFS(BV_Data_An_Cour!$P:$P,BV_Data_An_Cour!$X:$X,"Oui",BV_Data_An_Cour!$U:$U,$B178,BV_Data_An_Cour!$V:$V,$C178)</f>
        <v>163142.11999999994</v>
      </c>
      <c r="L178" s="185">
        <f>-SUMIFS(BV_Data_An_Cour!$P:$P,BV_Data_An_Cour!$U:$U,$B178,BV_Data_An_Cour!$V:$V,$C178,BV_Data_An_Cour!$W:$W,$L$2)</f>
        <v>118925.22999999995</v>
      </c>
      <c r="M178" s="298">
        <f>(K178-E178)/E178</f>
        <v>0.13006804235373642</v>
      </c>
      <c r="N178" s="230">
        <f>L178-F178</f>
        <v>21478.946349117206</v>
      </c>
      <c r="O178" s="229" cm="1">
        <f t="array" ref="O178">+SUMPRODUCT(('Réel 2024'!$A$8:$A$501=$A178)*('Réel 2024'!$C$3:$AO$3=O$2),'Réel 2024'!$C$8:$AO$501)</f>
        <v>569</v>
      </c>
      <c r="P178" s="191" cm="1">
        <f t="array" ref="P178">+SUMPRODUCT(('Réel 2024'!$A$8:$A$501=$A178)*('Réel 2024'!$C$3:$AO$3=P$2),'Réel 2024'!$C$8:$AO$501)</f>
        <v>124717.42</v>
      </c>
      <c r="Q178" s="185" cm="1">
        <f t="array" ref="Q178">+SUMPRODUCT(('Réel 2024'!$A$8:$A$501=$A178)*('Réel 2024'!$C$3:$AO$3=Q$2),'Réel 2024'!$C$8:$AO$501)</f>
        <v>72995.91</v>
      </c>
      <c r="R178" s="298">
        <f>IF(O178=0,0,J178/O178)</f>
        <v>0.73637961335676627</v>
      </c>
      <c r="S178" s="202">
        <f>L178-Q178</f>
        <v>45929.319999999949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180"/>
      <c r="E179" s="231"/>
      <c r="F179" s="232">
        <f>F178/E178</f>
        <v>0.67500000000000016</v>
      </c>
      <c r="G179" s="228"/>
      <c r="H179" s="231"/>
      <c r="I179" s="232"/>
      <c r="J179" s="229"/>
      <c r="K179" s="231"/>
      <c r="L179" s="232">
        <f>IF(L178=0,0,L178/K178)</f>
        <v>0.72896705032397513</v>
      </c>
      <c r="M179" s="298"/>
      <c r="N179" s="230">
        <f>L179-F179</f>
        <v>5.3967050323974974E-2</v>
      </c>
      <c r="O179" s="229"/>
      <c r="P179" s="231"/>
      <c r="Q179" s="232">
        <f>Q178/P178</f>
        <v>0.58529041091452982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180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1182" cm="1">
        <f t="array" ref="D181">+SUMPRODUCT(('Budget original'!$A$8:$A$501=$A181)*('Budget original'!$C$3:$AO$3=D$2),'Budget original'!$C$8:$AO$501)</f>
        <v>213.84297196803107</v>
      </c>
      <c r="E181" s="200" cm="1">
        <f t="array" ref="E181">+SUMPRODUCT(('Budget original'!$A$8:$A$501=$A181)*('Budget original'!$C$3:$AO$3=E$2),'Budget original'!$C$8:$AO$501)</f>
        <v>42768.59439360621</v>
      </c>
      <c r="F181" s="200" cm="1">
        <f t="array" ref="F181">+SUMPRODUCT(('Budget original'!$A$8:$A$501=$A181)*('Budget original'!$C$3:$AO$3=F$2),'Budget original'!$C$8:$AO$501)</f>
        <v>17107.437757442487</v>
      </c>
      <c r="G181" s="278"/>
      <c r="H181" s="200"/>
      <c r="I181" s="200"/>
      <c r="J181" s="319">
        <f>-SUMIFS(BV_Data_An_Cour!$P:$P,BV_Data_An_Cour!$U:$U,$B181,BV_Data_An_Cour!$V:$V,$C181,BV_Data_An_Cour!$W:$W,J$2)</f>
        <v>167</v>
      </c>
      <c r="K181" s="191">
        <f>-SUMIFS(BV_Data_An_Cour!$P:$P,BV_Data_An_Cour!$X:$X,"Oui",BV_Data_An_Cour!$U:$U,$B181,BV_Data_An_Cour!$V:$V,$C181)</f>
        <v>34757.620000000003</v>
      </c>
      <c r="L181" s="186">
        <f>-SUMIFS(BV_Data_An_Cour!$P:$P,BV_Data_An_Cour!$U:$U,$B181,BV_Data_An_Cour!$V:$V,$C181,BV_Data_An_Cour!$W:$W,$L$2)</f>
        <v>22605.470000000005</v>
      </c>
      <c r="M181" s="320">
        <f>IF(E181=0,0,(K181-E181)/E181)</f>
        <v>-0.18730974228144909</v>
      </c>
      <c r="N181" s="279">
        <f>L181-F181</f>
        <v>5498.0322425575177</v>
      </c>
      <c r="O181" s="319" cm="1">
        <f t="array" ref="O181">+SUMPRODUCT(('Réel 2024'!$A$8:$A$501=$A181)*('Réel 2024'!$C$3:$AO$3=O$2),'Réel 2024'!$C$8:$AO$501)</f>
        <v>237</v>
      </c>
      <c r="P181" s="191" cm="1">
        <f t="array" ref="P181">+SUMPRODUCT(('Réel 2024'!$A$8:$A$501=$A181)*('Réel 2024'!$C$3:$AO$3=P$2),'Réel 2024'!$C$8:$AO$501)</f>
        <v>48084.76</v>
      </c>
      <c r="Q181" s="186" cm="1">
        <f t="array" ref="Q181">+SUMPRODUCT(('Réel 2024'!$A$8:$A$501=$A181)*('Réel 2024'!$C$3:$AO$3=Q$2),'Réel 2024'!$C$8:$AO$501)</f>
        <v>19395.25</v>
      </c>
      <c r="R181" s="298">
        <f>IF(O181=0,0,J181/O181)</f>
        <v>0.70464135021097052</v>
      </c>
      <c r="S181" s="204">
        <f>L181-Q181</f>
        <v>3210.2200000000048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0.40000000000000008</v>
      </c>
      <c r="G182" s="237"/>
      <c r="H182" s="234"/>
      <c r="I182" s="232"/>
      <c r="J182" s="233"/>
      <c r="K182" s="234">
        <f>IF(J181&lt;=0,0,L181/J181)</f>
        <v>135.36209580838326</v>
      </c>
      <c r="L182" s="232">
        <f>IF(L181=0,0,L181/K181)</f>
        <v>0.65037450780577044</v>
      </c>
      <c r="M182" s="229">
        <f>J182-D182</f>
        <v>0</v>
      </c>
      <c r="N182" s="235"/>
      <c r="O182" s="233"/>
      <c r="P182" s="234"/>
      <c r="Q182" s="232">
        <f>IFERROR(Q181/P181,0)</f>
        <v>0.40335544983483329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-9306.3476609924764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-6207.99</v>
      </c>
      <c r="M184" s="233"/>
      <c r="N184" s="230">
        <f>L184-F184</f>
        <v>3098.3576609924767</v>
      </c>
      <c r="O184" s="229"/>
      <c r="P184" s="200"/>
      <c r="Q184" s="200" cm="1">
        <f t="array" ref="Q184">+SUMPRODUCT(('Réel 2024'!$A$8:$A$501=$A184)*('Réel 2024'!$C$3:$AO$3=Q$2),'Réel 2024'!$C$8:$AO$501)</f>
        <v>-9542.5400000000009</v>
      </c>
      <c r="R184" s="212"/>
      <c r="S184" s="202">
        <f>L184-Q184</f>
        <v>3334.5500000000011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1973.9921887169426</v>
      </c>
      <c r="E185" s="58">
        <f>E172+E175+E178+E181+E184</f>
        <v>472757.9811313065</v>
      </c>
      <c r="F185" s="59">
        <f t="shared" ref="F185" si="38">F172+F175+F178+F181+F184</f>
        <v>317439.39521530183</v>
      </c>
      <c r="G185" s="60"/>
      <c r="H185" s="58"/>
      <c r="I185" s="59"/>
      <c r="J185" s="60">
        <f>J172+J175+J178+J181+J184</f>
        <v>1875</v>
      </c>
      <c r="K185" s="58">
        <f>K172+K175+K178+K181+K184</f>
        <v>565338.92999999993</v>
      </c>
      <c r="L185" s="59">
        <f>L172+L175+L178+L181+L184</f>
        <v>409941.56</v>
      </c>
      <c r="M185" s="61">
        <f>(K185-E185)/E185</f>
        <v>0.19583159367748351</v>
      </c>
      <c r="N185" s="59">
        <f>L185-F185</f>
        <v>92502.164784698165</v>
      </c>
      <c r="O185" s="60">
        <f t="shared" ref="O185" si="39">O172+O175+O178+O181+O184</f>
        <v>1993</v>
      </c>
      <c r="P185" s="58">
        <f>P172+P175+P178+P181+P184</f>
        <v>436670.48999999982</v>
      </c>
      <c r="Q185" s="59">
        <f t="shared" ref="Q185" si="40">Q172+Q175+Q178+Q181+Q184</f>
        <v>277722.01999999984</v>
      </c>
      <c r="R185" s="339">
        <f>IF(O185=0,0,J185/O185)</f>
        <v>0.94079277471149025</v>
      </c>
      <c r="S185" s="340">
        <f>L185-Q185</f>
        <v>132219.54000000015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239.49333935236604</v>
      </c>
      <c r="F186" s="63">
        <f>F185/E185</f>
        <v>0.67146279467492354</v>
      </c>
      <c r="G186" s="64"/>
      <c r="H186" s="62"/>
      <c r="I186" s="239"/>
      <c r="J186" s="64"/>
      <c r="K186" s="65">
        <f>IF(J185=0,0,K185/J185)</f>
        <v>301.51409599999994</v>
      </c>
      <c r="L186" s="239">
        <f>IF(L185=0,0,L185/K185)</f>
        <v>0.72512529784566582</v>
      </c>
      <c r="M186" s="64"/>
      <c r="N186" s="63">
        <f>N185/F185</f>
        <v>0.29140102387720024</v>
      </c>
      <c r="O186" s="64"/>
      <c r="P186" s="65">
        <f>IF(O185=0,0,P185/O185)</f>
        <v>219.1021023582538</v>
      </c>
      <c r="Q186" s="239">
        <f>Q185/P185</f>
        <v>0.63599905732123085</v>
      </c>
      <c r="R186" s="64"/>
      <c r="S186" s="267">
        <f>IF(R185=0,0,S185/R185)</f>
        <v>140540.55638400017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36578.244858249775</v>
      </c>
      <c r="F188" s="200" cm="1">
        <f t="array" ref="F188">+SUMPRODUCT(('Budget original'!$A$8:$A$501=$A188)*('Budget original'!$C$3:$AO$3=F$2),'Budget original'!$C$8:$AO$501)</f>
        <v>4206.4981586987251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22781.210000000003</v>
      </c>
      <c r="L188" s="185">
        <f>-SUMIFS(BV_Data_An_Cour!$P:$P,BV_Data_An_Cour!$U:$U,$B188,BV_Data_An_Cour!$V:$V,$C188,BV_Data_An_Cour!$W:$W,$L$2)</f>
        <v>5256.0800000000027</v>
      </c>
      <c r="M188" s="452">
        <f>IF(E188=0,0,(K188-E188)/E188)</f>
        <v>-0.37719236971912884</v>
      </c>
      <c r="N188" s="230">
        <f>L188-F188</f>
        <v>1049.5818413012776</v>
      </c>
      <c r="O188" s="229"/>
      <c r="P188" s="184" cm="1">
        <f t="array" ref="P188">+SUMPRODUCT(('Réel 2024'!$A$8:$A$501=$A188)*('Réel 2024'!$C$3:$AO$3=P$2),'Réel 2024'!$C$8:$AO$501)</f>
        <v>26128.719999999903</v>
      </c>
      <c r="Q188" s="185" cm="1">
        <f t="array" ref="Q188">+SUMPRODUCT(('Réel 2024'!$A$8:$A$501=$A188)*('Réel 2024'!$C$3:$AO$3=Q$2),'Réel 2024'!$C$8:$AO$501)</f>
        <v>772.24999999999841</v>
      </c>
      <c r="R188" s="298">
        <f>IF(O188=0,0,J188/O188)</f>
        <v>0</v>
      </c>
      <c r="S188" s="202">
        <f>L188-Q188</f>
        <v>4483.8300000000045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0.11500000000000003</v>
      </c>
      <c r="G189" s="228"/>
      <c r="H189" s="231"/>
      <c r="I189" s="232"/>
      <c r="J189" s="233"/>
      <c r="K189" s="234"/>
      <c r="L189" s="232">
        <f>IF(L188=0,0,L188/K188)</f>
        <v>0.23071996614754009</v>
      </c>
      <c r="M189" s="233"/>
      <c r="N189" s="235"/>
      <c r="O189" s="233"/>
      <c r="P189" s="234"/>
      <c r="Q189" s="232">
        <f>IFERROR(Q188/P188,0)</f>
        <v>2.9555600121245942E-2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2024'!$A$8:$A$501=$A191)*('Réel 2024'!$C$3:$AO$3=P$2),'Réel 2024'!$C$8:$AO$501)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509336.22598955629</v>
      </c>
      <c r="F194" s="28">
        <f t="shared" si="41"/>
        <v>321645.89337400056</v>
      </c>
      <c r="G194" s="29"/>
      <c r="H194" s="26"/>
      <c r="I194" s="28"/>
      <c r="J194" s="29"/>
      <c r="K194" s="26">
        <f>K185+K188+K191</f>
        <v>588120.1399999999</v>
      </c>
      <c r="L194" s="28">
        <f>L185+L188+L191</f>
        <v>415197.64</v>
      </c>
      <c r="M194" s="70">
        <f>L195-F195</f>
        <v>7.4474060040209844E-2</v>
      </c>
      <c r="N194" s="28">
        <f>L194-F194</f>
        <v>93551.746625999454</v>
      </c>
      <c r="O194" s="29"/>
      <c r="P194" s="26">
        <f t="shared" ref="P194:Q194" si="42">P185+P188+P191</f>
        <v>462799.20999999973</v>
      </c>
      <c r="Q194" s="28">
        <f t="shared" si="42"/>
        <v>278494.26999999984</v>
      </c>
      <c r="R194" s="70">
        <f>L195-Q195</f>
        <v>0.1042137211901526</v>
      </c>
      <c r="S194" s="326">
        <f>L194-Q194</f>
        <v>136703.37000000017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0.63150013087935308</v>
      </c>
      <c r="G195" s="31"/>
      <c r="H195" s="328"/>
      <c r="I195" s="34"/>
      <c r="J195" s="31"/>
      <c r="K195" s="328"/>
      <c r="L195" s="34">
        <f>L194/K194</f>
        <v>0.70597419091956293</v>
      </c>
      <c r="M195" s="33"/>
      <c r="N195" s="34">
        <f>N194/F194</f>
        <v>0.29085322882459497</v>
      </c>
      <c r="O195" s="31"/>
      <c r="P195" s="328"/>
      <c r="Q195" s="34">
        <f>Q194/P194</f>
        <v>0.60176046972941033</v>
      </c>
      <c r="R195" s="33"/>
      <c r="S195" s="264">
        <f>L194/S194</f>
        <v>3.0372158345474549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41213.767580312415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51554.68</v>
      </c>
      <c r="M198" s="228"/>
      <c r="N198" s="230">
        <f t="shared" ref="N198:N229" si="43">L198-F198</f>
        <v>10340.912419687585</v>
      </c>
      <c r="O198" s="228"/>
      <c r="P198" s="183"/>
      <c r="Q198" s="185" cm="1">
        <f t="array" ref="Q198">+SUMPRODUCT(('Réel 2024'!$A$8:$A$501=$A198)*('Réel 2024'!$C$3:$AO$3=Q$2),'Réel 2024'!$C$8:$AO$501)</f>
        <v>33327.479999999996</v>
      </c>
      <c r="R198" s="228"/>
      <c r="S198" s="202">
        <f>L198-Q198</f>
        <v>18227.200000000004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22273.61877394636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19934.169999999998</v>
      </c>
      <c r="M199" s="228"/>
      <c r="N199" s="230">
        <f t="shared" si="43"/>
        <v>-2339.4487739463621</v>
      </c>
      <c r="O199" s="228"/>
      <c r="P199" s="183"/>
      <c r="Q199" s="185" cm="1">
        <f t="array" ref="Q199">+SUMPRODUCT(('Réel 2024'!$A$8:$A$501=$A199)*('Réel 2024'!$C$3:$AO$3=Q$2),'Réel 2024'!$C$8:$AO$501)</f>
        <v>18334.07</v>
      </c>
      <c r="R199" s="228"/>
      <c r="S199" s="202">
        <f t="shared" ref="S199:S229" si="44">L199-Q199</f>
        <v>1600.0999999999985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25308.590038314174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32903.9</v>
      </c>
      <c r="M200" s="278"/>
      <c r="N200" s="279">
        <f t="shared" si="43"/>
        <v>7595.3099616858271</v>
      </c>
      <c r="O200" s="278"/>
      <c r="P200" s="276"/>
      <c r="Q200" s="186" cm="1">
        <f t="array" ref="Q200">+SUMPRODUCT(('Réel 2024'!$A$8:$A$501=$A200)*('Réel 2024'!$C$3:$AO$3=Q$2),'Réel 2024'!$C$8:$AO$501)</f>
        <v>21620.92</v>
      </c>
      <c r="R200" s="278"/>
      <c r="S200" s="204">
        <f t="shared" si="44"/>
        <v>11282.980000000003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57104.128444444446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53830.86</v>
      </c>
      <c r="M201" s="228"/>
      <c r="N201" s="230">
        <f t="shared" si="43"/>
        <v>-3273.2684444444458</v>
      </c>
      <c r="O201" s="228"/>
      <c r="P201" s="183"/>
      <c r="Q201" s="185" cm="1">
        <f t="array" ref="Q201">+SUMPRODUCT(('Réel 2024'!$A$8:$A$501=$A201)*('Réel 2024'!$C$3:$AO$3=Q$2),'Réel 2024'!$C$8:$AO$501)</f>
        <v>32598.25</v>
      </c>
      <c r="R201" s="228"/>
      <c r="S201" s="202">
        <f t="shared" si="44"/>
        <v>21232.61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2024'!$A$8:$A$501=$A202)*('Réel 2024'!$C$3:$AO$3=Q$2),'Réel 2024'!$C$8:$AO$501)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2024'!$A$8:$A$501=$A203)*('Réel 2024'!$C$3:$AO$3=Q$2),'Réel 2024'!$C$8:$AO$501)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2024'!$A$8:$A$501=$A204)*('Réel 2024'!$C$3:$AO$3=Q$2),'Réel 2024'!$C$8:$AO$501)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36354.599418400227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33320.800000000003</v>
      </c>
      <c r="M205" s="228"/>
      <c r="N205" s="230">
        <f t="shared" si="43"/>
        <v>-3033.7994184002237</v>
      </c>
      <c r="O205" s="228"/>
      <c r="P205" s="183"/>
      <c r="Q205" s="185" cm="1">
        <f t="array" ref="Q205">+SUMPRODUCT(('Réel 2024'!$A$8:$A$501=$A205)*('Réel 2024'!$C$3:$AO$3=Q$2),'Réel 2024'!$C$8:$AO$501)</f>
        <v>29716.57</v>
      </c>
      <c r="R205" s="228"/>
      <c r="S205" s="202">
        <f>L205-Q205</f>
        <v>3604.2300000000032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49637.69972944897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49887.56</v>
      </c>
      <c r="M206" s="278"/>
      <c r="N206" s="279">
        <f t="shared" si="43"/>
        <v>249.8602705510275</v>
      </c>
      <c r="O206" s="278"/>
      <c r="P206" s="276"/>
      <c r="Q206" s="186" cm="1">
        <f t="array" ref="Q206">+SUMPRODUCT(('Réel 2024'!$A$8:$A$501=$A206)*('Réel 2024'!$C$3:$AO$3=Q$2),'Réel 2024'!$C$8:$AO$501)</f>
        <v>35386.76</v>
      </c>
      <c r="R206" s="278"/>
      <c r="S206" s="204">
        <f t="shared" si="44"/>
        <v>14500.799999999996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23001.291393714768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20402.73</v>
      </c>
      <c r="M207" s="228"/>
      <c r="N207" s="230">
        <f t="shared" si="43"/>
        <v>-2598.5613937147682</v>
      </c>
      <c r="O207" s="228"/>
      <c r="P207" s="183"/>
      <c r="Q207" s="185" cm="1">
        <f t="array" ref="Q207">+SUMPRODUCT(('Réel 2024'!$A$8:$A$501=$A207)*('Réel 2024'!$C$3:$AO$3=Q$2),'Réel 2024'!$C$8:$AO$501)</f>
        <v>18440.07</v>
      </c>
      <c r="R207" s="228"/>
      <c r="S207" s="202">
        <f t="shared" si="44"/>
        <v>1962.6599999999999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4928.8481557960204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7814.11</v>
      </c>
      <c r="M208" s="763"/>
      <c r="N208" s="199">
        <f t="shared" si="43"/>
        <v>2885.2618442039793</v>
      </c>
      <c r="O208" s="763"/>
      <c r="P208" s="764"/>
      <c r="Q208" s="182" cm="1">
        <f t="array" ref="Q208">+SUMPRODUCT(('Réel 2024'!$A$8:$A$501=$A208)*('Réel 2024'!$C$3:$AO$3=Q$2),'Réel 2024'!$C$8:$AO$501)</f>
        <v>4588.04</v>
      </c>
      <c r="R208" s="763"/>
      <c r="S208" s="765">
        <f t="shared" si="44"/>
        <v>3226.0699999999997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2024'!$A$8:$A$501=$A209)*('Réel 2024'!$C$3:$AO$3=Q$2),'Réel 2024'!$C$8:$AO$501)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0.8077906445777725</v>
      </c>
      <c r="F210" s="41">
        <f>+SUM(F198:F209)</f>
        <v>259822.54353437739</v>
      </c>
      <c r="G210" s="42"/>
      <c r="H210" s="40"/>
      <c r="I210" s="41"/>
      <c r="J210" s="42" t="s">
        <v>162</v>
      </c>
      <c r="K210" s="40">
        <f>L210/L$194</f>
        <v>0.64944687546875268</v>
      </c>
      <c r="L210" s="41">
        <f>+SUM(L198:L209)</f>
        <v>269648.81</v>
      </c>
      <c r="M210" s="43"/>
      <c r="N210" s="46">
        <f t="shared" si="43"/>
        <v>9826.2664656226116</v>
      </c>
      <c r="O210" s="42" t="s">
        <v>162</v>
      </c>
      <c r="P210" s="40">
        <f>Q210/Q$194</f>
        <v>0.69664686458360581</v>
      </c>
      <c r="Q210" s="41">
        <f>+SUM(Q198:Q209)</f>
        <v>194012.16000000003</v>
      </c>
      <c r="R210" s="43"/>
      <c r="S210" s="286">
        <f t="shared" si="44"/>
        <v>75636.649999999965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24390.986247502919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27343.58</v>
      </c>
      <c r="M211" s="228"/>
      <c r="N211" s="230">
        <f t="shared" si="43"/>
        <v>2952.5937524970832</v>
      </c>
      <c r="O211" s="228"/>
      <c r="P211" s="183"/>
      <c r="Q211" s="185" cm="1">
        <f t="array" ref="Q211">+SUMPRODUCT(('Réel 2024'!$A$8:$A$501=$A211)*('Réel 2024'!$C$3:$AO$3=Q$2),'Réel 2024'!$C$8:$AO$501)</f>
        <v>23614.97</v>
      </c>
      <c r="R211" s="228"/>
      <c r="S211" s="202">
        <f t="shared" si="44"/>
        <v>3728.6100000000006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11033.333333333334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9723.68</v>
      </c>
      <c r="M212" s="228"/>
      <c r="N212" s="230">
        <f t="shared" si="43"/>
        <v>-1309.6533333333336</v>
      </c>
      <c r="O212" s="228"/>
      <c r="P212" s="183"/>
      <c r="Q212" s="185" cm="1">
        <f t="array" ref="Q212">+SUMPRODUCT(('Réel 2024'!$A$8:$A$501=$A212)*('Réel 2024'!$C$3:$AO$3=Q$2),'Réel 2024'!$C$8:$AO$501)</f>
        <v>8614.3399999999892</v>
      </c>
      <c r="R212" s="228"/>
      <c r="S212" s="202">
        <f t="shared" si="44"/>
        <v>1109.3400000000111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21171.333333333336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22236.79</v>
      </c>
      <c r="M213" s="283"/>
      <c r="N213" s="284">
        <f t="shared" si="43"/>
        <v>1065.4566666666651</v>
      </c>
      <c r="O213" s="283"/>
      <c r="P213" s="281"/>
      <c r="Q213" s="185" cm="1">
        <f t="array" ref="Q213">+SUMPRODUCT(('Réel 2024'!$A$8:$A$501=$A213)*('Réel 2024'!$C$3:$AO$3=Q$2),'Réel 2024'!$C$8:$AO$501)</f>
        <v>10730.659999999989</v>
      </c>
      <c r="R213" s="283"/>
      <c r="S213" s="205">
        <f t="shared" si="44"/>
        <v>11506.130000000012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24134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25645.31</v>
      </c>
      <c r="M214" s="228"/>
      <c r="N214" s="230">
        <f t="shared" si="43"/>
        <v>1511.3100000000013</v>
      </c>
      <c r="O214" s="228"/>
      <c r="P214" s="183"/>
      <c r="Q214" s="186" cm="1">
        <f t="array" ref="Q214">+SUMPRODUCT(('Réel 2024'!$A$8:$A$501=$A214)*('Réel 2024'!$C$3:$AO$3=Q$2),'Réel 2024'!$C$8:$AO$501)</f>
        <v>21975.15</v>
      </c>
      <c r="R214" s="228"/>
      <c r="S214" s="202">
        <f t="shared" si="44"/>
        <v>3670.16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1833.3333333333333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8132.03</v>
      </c>
      <c r="M215" s="228"/>
      <c r="N215" s="230">
        <f t="shared" si="43"/>
        <v>6298.6966666666667</v>
      </c>
      <c r="O215" s="228"/>
      <c r="P215" s="183"/>
      <c r="Q215" s="185" cm="1">
        <f t="array" ref="Q215">+SUMPRODUCT(('Réel 2024'!$A$8:$A$501=$A215)*('Réel 2024'!$C$3:$AO$3=Q$2),'Réel 2024'!$C$8:$AO$501)</f>
        <v>5260.9599999999991</v>
      </c>
      <c r="R215" s="228"/>
      <c r="S215" s="202">
        <f t="shared" si="44"/>
        <v>2871.0700000000006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22566</v>
      </c>
      <c r="G216" s="282"/>
      <c r="H216" s="281"/>
      <c r="I216" s="182"/>
      <c r="J216" s="283"/>
      <c r="K216" s="281"/>
      <c r="L216" s="182">
        <f>SUMIFS(BV_Data_An_Cour!$P:$P,BV_Data_An_Cour!$U:$U,$B216,BV_Data_An_Cour!$V:$V,$C216,BV_Data_An_Cour!$W:$W,$L$2)</f>
        <v>11939.9</v>
      </c>
      <c r="M216" s="283"/>
      <c r="N216" s="284">
        <f t="shared" si="43"/>
        <v>-10626.1</v>
      </c>
      <c r="O216" s="283"/>
      <c r="P216" s="281"/>
      <c r="Q216" s="182" cm="1">
        <f t="array" ref="Q216">+SUMPRODUCT(('Réel 2024'!$A$8:$A$501=$A216)*('Réel 2024'!$C$3:$AO$3=Q$2),'Réel 2024'!$C$8:$AO$501)</f>
        <v>20004.09</v>
      </c>
      <c r="R216" s="283"/>
      <c r="S216" s="205">
        <f t="shared" si="44"/>
        <v>-8064.1900000000005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2024'!$A$8:$A$501=$A217)*('Réel 2024'!$C$3:$AO$3=Q$2),'Réel 2024'!$C$8:$AO$501)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4400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11355.55</v>
      </c>
      <c r="M218" s="228"/>
      <c r="N218" s="230">
        <f t="shared" si="43"/>
        <v>6955.5499999999993</v>
      </c>
      <c r="O218" s="228"/>
      <c r="P218" s="183"/>
      <c r="Q218" s="185" cm="1">
        <f t="array" ref="Q218">+SUMPRODUCT(('Réel 2024'!$A$8:$A$501=$A218)*('Réel 2024'!$C$3:$AO$3=Q$2),'Réel 2024'!$C$8:$AO$501)</f>
        <v>4264.2699999999995</v>
      </c>
      <c r="R218" s="228"/>
      <c r="S218" s="202">
        <f t="shared" si="44"/>
        <v>7091.28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4000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6507.14</v>
      </c>
      <c r="M219" s="228"/>
      <c r="N219" s="230">
        <f t="shared" si="43"/>
        <v>2507.1400000000003</v>
      </c>
      <c r="O219" s="228"/>
      <c r="P219" s="183"/>
      <c r="Q219" s="185" cm="1">
        <f t="array" ref="Q219">+SUMPRODUCT(('Réel 2024'!$A$8:$A$501=$A219)*('Réel 2024'!$C$3:$AO$3=Q$2),'Réel 2024'!$C$8:$AO$501)</f>
        <v>3825.5699999999997</v>
      </c>
      <c r="R219" s="228"/>
      <c r="S219" s="202">
        <f t="shared" si="44"/>
        <v>2681.5700000000006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1575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1626.66</v>
      </c>
      <c r="M220" s="228"/>
      <c r="N220" s="230">
        <f t="shared" si="43"/>
        <v>51.660000000000082</v>
      </c>
      <c r="O220" s="228"/>
      <c r="P220" s="183"/>
      <c r="Q220" s="478" cm="1">
        <f t="array" ref="Q220">+SUMPRODUCT(('Réel 2024'!$A$8:$A$501=$A220)*('Réel 2024'!$C$3:$AO$3=Q$2),'Réel 2024'!$C$8:$AO$501)</f>
        <v>1586.92</v>
      </c>
      <c r="R220" s="228"/>
      <c r="S220" s="202">
        <f t="shared" si="44"/>
        <v>39.740000000000009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480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942.23</v>
      </c>
      <c r="M221" s="228"/>
      <c r="N221" s="230">
        <f t="shared" si="43"/>
        <v>462.23</v>
      </c>
      <c r="O221" s="228"/>
      <c r="P221" s="183"/>
      <c r="Q221" s="185" cm="1">
        <f t="array" ref="Q221">+SUMPRODUCT(('Réel 2024'!$A$8:$A$501=$A221)*('Réel 2024'!$C$3:$AO$3=Q$2),'Réel 2024'!$C$8:$AO$501)</f>
        <v>433.23</v>
      </c>
      <c r="R221" s="228"/>
      <c r="S221" s="202">
        <f t="shared" si="44"/>
        <v>509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450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758.61</v>
      </c>
      <c r="M222" s="228"/>
      <c r="N222" s="230">
        <f t="shared" si="43"/>
        <v>308.61</v>
      </c>
      <c r="O222" s="228"/>
      <c r="P222" s="183"/>
      <c r="Q222" s="185" cm="1">
        <f t="array" ref="Q222">+SUMPRODUCT(('Réel 2024'!$A$8:$A$501=$A222)*('Réel 2024'!$C$3:$AO$3=Q$2),'Réel 2024'!$C$8:$AO$501)</f>
        <v>309.94</v>
      </c>
      <c r="R222" s="228"/>
      <c r="S222" s="202">
        <f t="shared" si="44"/>
        <v>448.67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1741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1523.36</v>
      </c>
      <c r="M223" s="228"/>
      <c r="N223" s="230">
        <f t="shared" si="43"/>
        <v>-217.6400000000001</v>
      </c>
      <c r="O223" s="228"/>
      <c r="P223" s="183"/>
      <c r="Q223" s="185" cm="1">
        <f t="array" ref="Q223">+SUMPRODUCT(('Réel 2024'!$A$8:$A$501=$A223)*('Réel 2024'!$C$3:$AO$3=Q$2),'Réel 2024'!$C$8:$AO$501)</f>
        <v>1587.15</v>
      </c>
      <c r="R223" s="228"/>
      <c r="S223" s="202">
        <f t="shared" si="44"/>
        <v>-63.790000000000191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6574.8611333333338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8715.77</v>
      </c>
      <c r="M224" s="228"/>
      <c r="N224" s="230">
        <f t="shared" si="43"/>
        <v>2140.9088666666667</v>
      </c>
      <c r="O224" s="228"/>
      <c r="P224" s="183"/>
      <c r="Q224" s="185" cm="1">
        <f t="array" ref="Q224">+SUMPRODUCT(('Réel 2024'!$A$8:$A$501=$A224)*('Réel 2024'!$C$3:$AO$3=Q$2),'Réel 2024'!$C$8:$AO$501)</f>
        <v>3156.15</v>
      </c>
      <c r="R224" s="228"/>
      <c r="S224" s="202">
        <f t="shared" si="44"/>
        <v>5559.6200000000008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6151.2441556858903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6104.55</v>
      </c>
      <c r="M225" s="228"/>
      <c r="N225" s="230">
        <f t="shared" si="43"/>
        <v>-46.694155685890109</v>
      </c>
      <c r="O225" s="228"/>
      <c r="P225" s="183"/>
      <c r="Q225" s="185" cm="1">
        <f t="array" ref="Q225">+SUMPRODUCT(('Réel 2024'!$A$8:$A$501=$A225)*('Réel 2024'!$C$3:$AO$3=Q$2),'Réel 2024'!$C$8:$AO$501)</f>
        <v>5181.0400000000009</v>
      </c>
      <c r="R225" s="228"/>
      <c r="S225" s="202">
        <f t="shared" si="44"/>
        <v>923.50999999999931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2024'!$A$8:$A$501=$A226)*('Réel 2024'!$C$3:$AO$3=Q$2),'Réel 2024'!$C$8:$AO$501)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2024'!$A$8:$A$501=$A227)*('Réel 2024'!$C$3:$AO$3=Q$2),'Réel 2024'!$C$8:$AO$501)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2024'!$A$8:$A$501=$A228)*('Réel 2024'!$C$3:$AO$3=Q$2),'Réel 2024'!$C$8:$AO$501)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0.40572907730172458</v>
      </c>
      <c r="F229" s="41">
        <f>+SUM(F211:F228)</f>
        <v>130501.09153652214</v>
      </c>
      <c r="G229" s="42"/>
      <c r="H229" s="40"/>
      <c r="I229" s="41"/>
      <c r="J229" s="42" t="s">
        <v>162</v>
      </c>
      <c r="K229" s="40">
        <f>L229/L$194</f>
        <v>0.34334289568697929</v>
      </c>
      <c r="L229" s="41">
        <f>+SUM(L211:L228)</f>
        <v>142555.15999999997</v>
      </c>
      <c r="M229" s="44"/>
      <c r="N229" s="41">
        <f t="shared" si="43"/>
        <v>12054.06846347783</v>
      </c>
      <c r="O229" s="42" t="s">
        <v>162</v>
      </c>
      <c r="P229" s="40">
        <f>Q229/Q$194</f>
        <v>0.39693613803975225</v>
      </c>
      <c r="Q229" s="41">
        <f>+SUM(Q211:Q228)</f>
        <v>110544.43999999997</v>
      </c>
      <c r="R229" s="44"/>
      <c r="S229" s="290">
        <f t="shared" si="44"/>
        <v>32010.720000000001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1.2135197218794971</v>
      </c>
      <c r="F231" s="41">
        <f>F210+F229</f>
        <v>390323.6350708995</v>
      </c>
      <c r="G231" s="42"/>
      <c r="H231" s="40"/>
      <c r="I231" s="41"/>
      <c r="J231" s="42" t="s">
        <v>108</v>
      </c>
      <c r="K231" s="40">
        <f>L231/L$194</f>
        <v>0.99278977115573186</v>
      </c>
      <c r="L231" s="41">
        <f>L210+L229</f>
        <v>412203.97</v>
      </c>
      <c r="M231" s="44"/>
      <c r="N231" s="46">
        <f>L231-F231</f>
        <v>21880.334929100471</v>
      </c>
      <c r="O231" s="42" t="s">
        <v>108</v>
      </c>
      <c r="P231" s="40">
        <f>Q231/Q$194</f>
        <v>1.0935830026233579</v>
      </c>
      <c r="Q231" s="41">
        <f>Q210+Q229</f>
        <v>304556.59999999998</v>
      </c>
      <c r="R231" s="44"/>
      <c r="S231" s="286">
        <f>L231-Q231</f>
        <v>107647.37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-68677.741696898942</v>
      </c>
      <c r="G233" s="312"/>
      <c r="H233" s="310"/>
      <c r="I233" s="311"/>
      <c r="J233" s="313"/>
      <c r="K233" s="314"/>
      <c r="L233" s="311">
        <f>L194-L231</f>
        <v>2993.6700000000419</v>
      </c>
      <c r="M233" s="313"/>
      <c r="N233" s="311">
        <f>L233-F233</f>
        <v>71671.411696898984</v>
      </c>
      <c r="O233" s="313"/>
      <c r="P233" s="314"/>
      <c r="Q233" s="311">
        <f>Q194-Q231</f>
        <v>-26062.330000000133</v>
      </c>
      <c r="R233" s="313"/>
      <c r="S233" s="315">
        <f>L233-Q233</f>
        <v>29056.000000000175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Avril 2025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39" t="s">
        <v>77</v>
      </c>
      <c r="E238" s="1240"/>
      <c r="F238" s="1241"/>
      <c r="G238" s="1244"/>
      <c r="H238" s="1240"/>
      <c r="I238" s="1241"/>
      <c r="J238" s="1244" t="s">
        <v>78</v>
      </c>
      <c r="K238" s="1240"/>
      <c r="L238" s="1241"/>
      <c r="M238" s="1244" t="s">
        <v>2443</v>
      </c>
      <c r="N238" s="1241"/>
      <c r="O238" s="1239" t="s">
        <v>79</v>
      </c>
      <c r="P238" s="1240"/>
      <c r="Q238" s="1241"/>
      <c r="R238" s="1242" t="s">
        <v>2447</v>
      </c>
      <c r="S238" s="1243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0</v>
      </c>
      <c r="F241" s="200" cm="1">
        <f t="array" ref="F241">+SUMPRODUCT(('Budget original'!$A$8:$A$501=$A241)*('Budget original'!$C$3:$AO$3=F$2),'Budget original'!$C$8:$AO$501)</f>
        <v>0</v>
      </c>
      <c r="G241" s="316"/>
      <c r="H241" s="200"/>
      <c r="I241" s="200"/>
      <c r="J241" s="229">
        <f>-SUMIFS(BV_Data_An_Cour!$P:$P,BV_Data_An_Cour!$U:$U,$B241,BV_Data_An_Cour!$V:$V,$C241,BV_Data_An_Cour!$W:$W,J$2)</f>
        <v>0</v>
      </c>
      <c r="K241" s="184">
        <f>-SUMIFS(BV_Data_An_Cour!$P:$P,BV_Data_An_Cour!$X:$X,"Oui",BV_Data_An_Cour!$U:$U,$B241,BV_Data_An_Cour!$V:$V,$C241)</f>
        <v>0</v>
      </c>
      <c r="L241" s="185">
        <f>-SUMIFS(BV_Data_An_Cour!$P:$P,BV_Data_An_Cour!$U:$U,$B241,BV_Data_An_Cour!$V:$V,$C241,BV_Data_An_Cour!$W:$W,$L$2)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 cm="1">
        <f t="array" ref="O241">+SUMPRODUCT(('Réel 2024'!$A$8:$A$501=$A241)*('Réel 2024'!$C$3:$AO$3=O$2),'Réel 2024'!$C$8:$AO$501)</f>
        <v>19</v>
      </c>
      <c r="P241" s="184" cm="1">
        <f t="array" ref="P241">+SUMPRODUCT(('Réel 2024'!$A$8:$A$501=$A241)*('Réel 2024'!$C$3:$AO$3=P$2),'Réel 2024'!$C$8:$AO$501)</f>
        <v>5880.32</v>
      </c>
      <c r="Q241" s="185" cm="1">
        <f t="array" ref="Q241">+SUMPRODUCT(('Réel 2024'!$A$8:$A$501=$A241)*('Réel 2024'!$C$3:$AO$3=Q$2),'Réel 2024'!$C$8:$AO$501)</f>
        <v>525.00999999999897</v>
      </c>
      <c r="R241" s="298">
        <f>IF(O241=0,0,J241/O241)</f>
        <v>0</v>
      </c>
      <c r="S241" s="202">
        <f>L241-Q241</f>
        <v>-525.00999999999897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8.9282556051371184E-2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2024'!$A$8:$A$501=$A244)*('Réel 2024'!$C$3:$AO$3=O$2),'Réel 2024'!$C$8:$AO$501)</f>
        <v>0</v>
      </c>
      <c r="P244" s="191" cm="1">
        <f t="array" ref="P244">+SUMPRODUCT(('Réel 2024'!$A$8:$A$501=$A244)*('Réel 2024'!$C$3:$AO$3=P$2),'Réel 2024'!$C$8:$AO$501)</f>
        <v>0</v>
      </c>
      <c r="Q244" s="186" cm="1">
        <f t="array" ref="Q244">+SUMPRODUCT(('Réel 2024'!$A$8:$A$501=$A244)*('Réel 2024'!$C$3:$AO$3=Q$2),'Réel 2024'!$C$8:$AO$501)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2024'!$A$8:$A$501=$A247)*('Réel 2024'!$C$3:$AO$3=O$2),'Réel 2024'!$C$8:$AO$501)</f>
        <v>0</v>
      </c>
      <c r="P247" s="184" cm="1">
        <f t="array" ref="P247">+SUMPRODUCT(('Réel 2024'!$A$8:$A$501=$A247)*('Réel 2024'!$C$3:$AO$3=P$2),'Réel 2024'!$C$8:$AO$501)</f>
        <v>0</v>
      </c>
      <c r="Q247" s="185" cm="1">
        <f t="array" ref="Q247">+SUMPRODUCT(('Réel 2024'!$A$8:$A$501=$A247)*('Réel 2024'!$C$3:$AO$3=Q$2),'Réel 2024'!$C$8:$AO$501)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0</v>
      </c>
      <c r="F250" s="28">
        <f t="shared" si="46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7">P244+P247+P241</f>
        <v>5880.32</v>
      </c>
      <c r="Q250" s="28">
        <f t="shared" si="47"/>
        <v>525.00999999999897</v>
      </c>
      <c r="R250" s="70">
        <f>L251-Q251</f>
        <v>-8.9282556051371184E-2</v>
      </c>
      <c r="S250" s="326">
        <f>L250-Q250</f>
        <v>-525.00999999999897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8.9282556051371184E-2</v>
      </c>
      <c r="R251" s="33"/>
      <c r="S251" s="264">
        <f>IF(R250=0,0,S250/R250)</f>
        <v>5880.32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0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0</v>
      </c>
      <c r="M254" s="228"/>
      <c r="N254" s="230">
        <f t="shared" ref="N254:N284" si="48">L254-F254</f>
        <v>0</v>
      </c>
      <c r="O254" s="228"/>
      <c r="P254" s="183"/>
      <c r="Q254" s="185" cm="1">
        <f t="array" ref="Q254">+SUMPRODUCT(('Réel 2024'!$A$8:$A$501=$A254)*('Réel 2024'!$C$3:$AO$3=Q$2),'Réel 2024'!$C$8:$AO$501)</f>
        <v>1217.08</v>
      </c>
      <c r="R254" s="228"/>
      <c r="S254" s="202">
        <f>L254-Q254</f>
        <v>-1217.08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0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0</v>
      </c>
      <c r="M255" s="228"/>
      <c r="N255" s="230">
        <f t="shared" si="48"/>
        <v>0</v>
      </c>
      <c r="O255" s="228"/>
      <c r="P255" s="183"/>
      <c r="Q255" s="185" cm="1">
        <f t="array" ref="Q255">+SUMPRODUCT(('Réel 2024'!$A$8:$A$501=$A255)*('Réel 2024'!$C$3:$AO$3=Q$2),'Réel 2024'!$C$8:$AO$501)</f>
        <v>1253.6599999999999</v>
      </c>
      <c r="R255" s="228"/>
      <c r="S255" s="202">
        <f>L255-Q255</f>
        <v>-1253.6599999999999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0</v>
      </c>
      <c r="M256" s="278"/>
      <c r="N256" s="279">
        <f t="shared" si="48"/>
        <v>0</v>
      </c>
      <c r="O256" s="278"/>
      <c r="P256" s="276"/>
      <c r="Q256" s="186" cm="1">
        <f t="array" ref="Q256">+SUMPRODUCT(('Réel 2024'!$A$8:$A$501=$A256)*('Réel 2024'!$C$3:$AO$3=Q$2),'Réel 2024'!$C$8:$AO$501)</f>
        <v>76</v>
      </c>
      <c r="R256" s="278"/>
      <c r="S256" s="204">
        <f t="shared" ref="S256:S285" si="49">L256-Q256</f>
        <v>-76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2024'!$A$8:$A$501=$A257)*('Réel 2024'!$C$3:$AO$3=Q$2),'Réel 2024'!$C$8:$AO$501)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2024'!$A$8:$A$501=$A258)*('Réel 2024'!$C$3:$AO$3=Q$2),'Réel 2024'!$C$8:$AO$501)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2024'!$A$8:$A$501=$A259)*('Réel 2024'!$C$3:$AO$3=Q$2),'Réel 2024'!$C$8:$AO$501)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2024'!$A$8:$A$501=$A260)*('Réel 2024'!$C$3:$AO$3=Q$2),'Réel 2024'!$C$8:$AO$501)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0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0</v>
      </c>
      <c r="M261" s="228"/>
      <c r="N261" s="230">
        <f t="shared" si="48"/>
        <v>0</v>
      </c>
      <c r="O261" s="228"/>
      <c r="P261" s="183"/>
      <c r="Q261" s="185" cm="1">
        <f t="array" ref="Q261">+SUMPRODUCT(('Réel 2024'!$A$8:$A$501=$A261)*('Réel 2024'!$C$3:$AO$3=Q$2),'Réel 2024'!$C$8:$AO$501)</f>
        <v>419.51000000000005</v>
      </c>
      <c r="R261" s="228"/>
      <c r="S261" s="202">
        <f t="shared" si="49"/>
        <v>-419.51000000000005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0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0</v>
      </c>
      <c r="M262" s="278"/>
      <c r="N262" s="279">
        <f t="shared" si="48"/>
        <v>0</v>
      </c>
      <c r="O262" s="278"/>
      <c r="P262" s="276"/>
      <c r="Q262" s="186" cm="1">
        <f t="array" ref="Q262">+SUMPRODUCT(('Réel 2024'!$A$8:$A$501=$A262)*('Réel 2024'!$C$3:$AO$3=Q$2),'Réel 2024'!$C$8:$AO$501)</f>
        <v>1516.7199999999998</v>
      </c>
      <c r="R262" s="278"/>
      <c r="S262" s="204">
        <f t="shared" si="49"/>
        <v>-1516.7199999999998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0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0</v>
      </c>
      <c r="M263" s="228"/>
      <c r="N263" s="230">
        <f t="shared" si="48"/>
        <v>0</v>
      </c>
      <c r="O263" s="228"/>
      <c r="P263" s="183"/>
      <c r="Q263" s="185" cm="1">
        <f t="array" ref="Q263">+SUMPRODUCT(('Réel 2024'!$A$8:$A$501=$A263)*('Réel 2024'!$C$3:$AO$3=Q$2),'Réel 2024'!$C$8:$AO$501)</f>
        <v>241.84</v>
      </c>
      <c r="R263" s="228"/>
      <c r="S263" s="202">
        <f t="shared" si="49"/>
        <v>-241.84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0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0</v>
      </c>
      <c r="M264" s="763"/>
      <c r="N264" s="199">
        <f t="shared" si="48"/>
        <v>0</v>
      </c>
      <c r="O264" s="228"/>
      <c r="P264" s="183"/>
      <c r="Q264" s="185" cm="1">
        <f t="array" ref="Q264">+SUMPRODUCT(('Réel 2024'!$A$8:$A$501=$A264)*('Réel 2024'!$C$3:$AO$3=Q$2),'Réel 2024'!$C$8:$AO$501)</f>
        <v>68.87</v>
      </c>
      <c r="R264" s="228"/>
      <c r="S264" s="202">
        <f t="shared" si="49"/>
        <v>-68.87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8"/>
        <v>0</v>
      </c>
      <c r="O266" s="42" t="s">
        <v>108</v>
      </c>
      <c r="P266" s="40" t="e">
        <f>Q266/Q$244</f>
        <v>#DIV/0!</v>
      </c>
      <c r="Q266" s="41">
        <f>+SUM(Q254:Q265)</f>
        <v>4793.6799999999994</v>
      </c>
      <c r="R266" s="43"/>
      <c r="S266" s="286">
        <f t="shared" si="49"/>
        <v>-4793.6799999999994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48"/>
        <v>0</v>
      </c>
      <c r="O267" s="228"/>
      <c r="P267" s="183"/>
      <c r="Q267" s="185" cm="1">
        <f t="array" ref="Q267">+SUMPRODUCT(('Réel 2024'!$A$8:$A$501=$A267)*('Réel 2024'!$C$3:$AO$3=Q$2),'Réel 2024'!$C$8:$AO$501)</f>
        <v>20</v>
      </c>
      <c r="R267" s="228"/>
      <c r="S267" s="202">
        <f t="shared" si="49"/>
        <v>-20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0</v>
      </c>
      <c r="M268" s="228"/>
      <c r="N268" s="230">
        <f t="shared" si="48"/>
        <v>0</v>
      </c>
      <c r="O268" s="228"/>
      <c r="P268" s="183"/>
      <c r="Q268" s="185" cm="1">
        <f t="array" ref="Q268">+SUMPRODUCT(('Réel 2024'!$A$8:$A$501=$A268)*('Réel 2024'!$C$3:$AO$3=Q$2),'Réel 2024'!$C$8:$AO$501)</f>
        <v>89.67</v>
      </c>
      <c r="R268" s="228"/>
      <c r="S268" s="202">
        <f t="shared" si="49"/>
        <v>-89.67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0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0</v>
      </c>
      <c r="M269" s="283"/>
      <c r="N269" s="284">
        <f t="shared" si="48"/>
        <v>0</v>
      </c>
      <c r="O269" s="283"/>
      <c r="P269" s="281"/>
      <c r="Q269" s="185" cm="1">
        <f t="array" ref="Q269">+SUMPRODUCT(('Réel 2024'!$A$8:$A$501=$A269)*('Réel 2024'!$C$3:$AO$3=Q$2),'Réel 2024'!$C$8:$AO$501)</f>
        <v>587.78</v>
      </c>
      <c r="R269" s="283"/>
      <c r="S269" s="205">
        <f t="shared" si="49"/>
        <v>-587.78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0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0</v>
      </c>
      <c r="M270" s="228"/>
      <c r="N270" s="230">
        <f t="shared" si="48"/>
        <v>0</v>
      </c>
      <c r="O270" s="228"/>
      <c r="P270" s="183"/>
      <c r="Q270" s="186" cm="1">
        <f t="array" ref="Q270">+SUMPRODUCT(('Réel 2024'!$A$8:$A$501=$A270)*('Réel 2024'!$C$3:$AO$3=Q$2),'Réel 2024'!$C$8:$AO$501)</f>
        <v>862.04</v>
      </c>
      <c r="R270" s="228"/>
      <c r="S270" s="202">
        <f t="shared" si="49"/>
        <v>-862.04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0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0</v>
      </c>
      <c r="M271" s="228"/>
      <c r="N271" s="230">
        <f t="shared" si="48"/>
        <v>0</v>
      </c>
      <c r="O271" s="228"/>
      <c r="P271" s="183"/>
      <c r="Q271" s="185" cm="1">
        <f t="array" ref="Q271">+SUMPRODUCT(('Réel 2024'!$A$8:$A$501=$A271)*('Réel 2024'!$C$3:$AO$3=Q$2),'Réel 2024'!$C$8:$AO$501)</f>
        <v>203.21</v>
      </c>
      <c r="R271" s="228"/>
      <c r="S271" s="202">
        <f t="shared" si="49"/>
        <v>-203.21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0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0</v>
      </c>
      <c r="M272" s="283"/>
      <c r="N272" s="284">
        <f t="shared" si="48"/>
        <v>0</v>
      </c>
      <c r="O272" s="283"/>
      <c r="P272" s="281"/>
      <c r="Q272" s="182" cm="1">
        <f t="array" ref="Q272">+SUMPRODUCT(('Réel 2024'!$A$8:$A$501=$A272)*('Réel 2024'!$C$3:$AO$3=Q$2),'Réel 2024'!$C$8:$AO$501)</f>
        <v>656.87999999999988</v>
      </c>
      <c r="R272" s="283"/>
      <c r="S272" s="205">
        <f t="shared" si="49"/>
        <v>-656.87999999999988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0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0</v>
      </c>
      <c r="O274" s="228"/>
      <c r="P274" s="183"/>
      <c r="Q274" s="185" cm="1">
        <f t="array" ref="Q274">+SUMPRODUCT(('Réel 2024'!$A$8:$A$501=$A274)*('Réel 2024'!$C$3:$AO$3=Q$2),'Réel 2024'!$C$8:$AO$501)</f>
        <v>0</v>
      </c>
      <c r="R274" s="228"/>
      <c r="S274" s="202">
        <f t="shared" si="49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2024'!$A$8:$A$501=$A275)*('Réel 2024'!$C$3:$AO$3=Q$2),'Réel 2024'!$C$8:$AO$501)</f>
        <v>0</v>
      </c>
      <c r="R275" s="228"/>
      <c r="S275" s="202">
        <f t="shared" si="49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0</v>
      </c>
      <c r="M276" s="228"/>
      <c r="N276" s="230">
        <f t="shared" si="48"/>
        <v>0</v>
      </c>
      <c r="O276" s="228"/>
      <c r="P276" s="183"/>
      <c r="Q276" s="478" cm="1">
        <f t="array" ref="Q276">+SUMPRODUCT(('Réel 2024'!$A$8:$A$501=$A276)*('Réel 2024'!$C$3:$AO$3=Q$2),'Réel 2024'!$C$8:$AO$501)</f>
        <v>77.14</v>
      </c>
      <c r="R276" s="228"/>
      <c r="S276" s="202">
        <f t="shared" si="49"/>
        <v>-77.14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0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0</v>
      </c>
      <c r="M277" s="228"/>
      <c r="N277" s="230">
        <f t="shared" si="48"/>
        <v>0</v>
      </c>
      <c r="O277" s="228"/>
      <c r="P277" s="183"/>
      <c r="Q277" s="185" cm="1">
        <f t="array" ref="Q277">+SUMPRODUCT(('Réel 2024'!$A$8:$A$501=$A277)*('Réel 2024'!$C$3:$AO$3=Q$2),'Réel 2024'!$C$8:$AO$501)</f>
        <v>34.19</v>
      </c>
      <c r="R277" s="228"/>
      <c r="S277" s="202">
        <f t="shared" si="49"/>
        <v>-34.19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0</v>
      </c>
      <c r="M278" s="228"/>
      <c r="N278" s="230">
        <f t="shared" si="48"/>
        <v>0</v>
      </c>
      <c r="O278" s="228"/>
      <c r="P278" s="183"/>
      <c r="Q278" s="185" cm="1">
        <f t="array" ref="Q278">+SUMPRODUCT(('Réel 2024'!$A$8:$A$501=$A278)*('Réel 2024'!$C$3:$AO$3=Q$2),'Réel 2024'!$C$8:$AO$501)</f>
        <v>18.189999999999998</v>
      </c>
      <c r="R278" s="228"/>
      <c r="S278" s="202">
        <f t="shared" si="49"/>
        <v>-18.189999999999998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0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0</v>
      </c>
      <c r="M279" s="228"/>
      <c r="N279" s="230">
        <f t="shared" si="48"/>
        <v>0</v>
      </c>
      <c r="O279" s="228"/>
      <c r="P279" s="183"/>
      <c r="Q279" s="185" cm="1">
        <f t="array" ref="Q279">+SUMPRODUCT(('Réel 2024'!$A$8:$A$501=$A279)*('Réel 2024'!$C$3:$AO$3=Q$2),'Réel 2024'!$C$8:$AO$501)</f>
        <v>176.2999999999999</v>
      </c>
      <c r="R279" s="228"/>
      <c r="S279" s="202">
        <f t="shared" si="49"/>
        <v>-176.2999999999999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0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0</v>
      </c>
      <c r="M280" s="228"/>
      <c r="N280" s="230">
        <f t="shared" si="48"/>
        <v>0</v>
      </c>
      <c r="O280" s="228"/>
      <c r="P280" s="183"/>
      <c r="Q280" s="185" cm="1">
        <f t="array" ref="Q280">+SUMPRODUCT(('Réel 2024'!$A$8:$A$501=$A280)*('Réel 2024'!$C$3:$AO$3=Q$2),'Réel 2024'!$C$8:$AO$501)</f>
        <v>19.090000000000003</v>
      </c>
      <c r="R280" s="228"/>
      <c r="S280" s="202">
        <f t="shared" si="49"/>
        <v>-19.090000000000003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0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0</v>
      </c>
      <c r="M281" s="228"/>
      <c r="N281" s="230">
        <f t="shared" si="48"/>
        <v>0</v>
      </c>
      <c r="O281" s="228"/>
      <c r="P281" s="183"/>
      <c r="Q281" s="185" cm="1">
        <f t="array" ref="Q281">+SUMPRODUCT(('Réel 2024'!$A$8:$A$501=$A281)*('Réel 2024'!$C$3:$AO$3=Q$2),'Réel 2024'!$C$8:$AO$501)</f>
        <v>575.66999999999996</v>
      </c>
      <c r="R281" s="228"/>
      <c r="S281" s="202">
        <f t="shared" si="49"/>
        <v>-575.66999999999996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2024'!$A$8:$A$501=$A282)*('Réel 2024'!$C$3:$AO$3=Q$2),'Réel 2024'!$C$8:$AO$501)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2024'!$A$8:$A$501=$A283)*('Réel 2024'!$C$3:$AO$3=Q$2),'Réel 2024'!$C$8:$AO$501)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2024'!$A$8:$A$501=$A284)*('Réel 2024'!$C$3:$AO$3=Q$2),'Réel 2024'!$C$8:$AO$501)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6.3239938286889892</v>
      </c>
      <c r="Q285" s="41">
        <f>+SUM(Q267:Q284)</f>
        <v>3320.16</v>
      </c>
      <c r="R285" s="44"/>
      <c r="S285" s="290">
        <f t="shared" si="49"/>
        <v>-3320.16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15.454638959257947</v>
      </c>
      <c r="Q287" s="41">
        <f>Q266+Q285</f>
        <v>8113.8399999999992</v>
      </c>
      <c r="R287" s="44"/>
      <c r="S287" s="286">
        <f>L287-Q287</f>
        <v>-8113.8399999999992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-7588.83</v>
      </c>
      <c r="R289" s="313"/>
      <c r="S289" s="315">
        <f>L289-Q289</f>
        <v>7588.83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Avril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39" t="s">
        <v>77</v>
      </c>
      <c r="E293" s="1240"/>
      <c r="F293" s="1241"/>
      <c r="G293" s="1244"/>
      <c r="H293" s="1240"/>
      <c r="I293" s="1241"/>
      <c r="J293" s="1244" t="s">
        <v>78</v>
      </c>
      <c r="K293" s="1240"/>
      <c r="L293" s="1241"/>
      <c r="M293" s="1244" t="s">
        <v>2443</v>
      </c>
      <c r="N293" s="1241"/>
      <c r="O293" s="1239" t="s">
        <v>79</v>
      </c>
      <c r="P293" s="1240"/>
      <c r="Q293" s="1241"/>
      <c r="R293" s="1242" t="s">
        <v>2447</v>
      </c>
      <c r="S293" s="124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190074.79781965347</v>
      </c>
      <c r="E295" s="213">
        <f t="shared" ref="E295:E303" si="51">IF(D295=0,0,F295/D295)</f>
        <v>0.40999999999999992</v>
      </c>
      <c r="F295" s="202" cm="1">
        <f t="array" ref="F295">+SUMPRODUCT(('Budget original'!$A$8:$A$501=$A295)*('Budget original'!$C$3:$AO$3=F$2),'Budget original'!$C$8:$AO$501)</f>
        <v>77930.66710605791</v>
      </c>
      <c r="G295" s="200"/>
      <c r="H295" s="213"/>
      <c r="I295" s="202"/>
      <c r="J295" s="184">
        <f>-SUMIFS(BV_Data_An_Cour!$P:$P,BV_Data_An_Cour!$X:$X,"Oui",BV_Data_An_Cour!$U:$U,$B295,BV_Data_An_Cour!$V:$V,$C295)</f>
        <v>211656</v>
      </c>
      <c r="K295" s="213">
        <f t="shared" ref="K295:K304" si="52">IF(J295&lt;=0,0,L295/J295)</f>
        <v>0.38928620024946142</v>
      </c>
      <c r="L295" s="185">
        <f>-SUMIFS(BV_Data_An_Cour!$P:$P,BV_Data_An_Cour!$U:$U,$B295,BV_Data_An_Cour!$V:$V,$C295,BV_Data_An_Cour!$W:$W,$L$2)</f>
        <v>82394.760000000009</v>
      </c>
      <c r="M295" s="298">
        <f t="shared" ref="M295:M301" si="53">(+J295-D295)/D295</f>
        <v>0.11354057680399682</v>
      </c>
      <c r="N295" s="230">
        <f t="shared" ref="N295:N304" si="54">L295-F295</f>
        <v>4464.0928939420992</v>
      </c>
      <c r="O295" s="184" cm="1">
        <f t="array" ref="O295">+SUMPRODUCT(('Réel 2024'!$A$8:$A$501=$A295)*('Réel 2024'!$C$3:$AO$3=O$2),'Réel 2024'!$C$8:$AO$501)</f>
        <v>187658.4499999999</v>
      </c>
      <c r="P295" s="213">
        <f t="shared" ref="P295:P303" si="55">IF(O295=0,0,Q295/O295)</f>
        <v>0.40160856065900546</v>
      </c>
      <c r="Q295" s="185" cm="1">
        <f t="array" ref="Q295">+SUMPRODUCT(('Réel 2024'!$A$8:$A$501=$A295)*('Réel 2024'!$C$3:$AO$3=Q$2),'Réel 2024'!$C$8:$AO$501)</f>
        <v>75365.239999999903</v>
      </c>
      <c r="R295" s="298">
        <f>IF(O295=0,0,(J295-O295)/O295)</f>
        <v>0.12787886716532146</v>
      </c>
      <c r="S295" s="202">
        <f t="shared" ref="S295:S304" si="56">L295-Q295</f>
        <v>7029.5200000001059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0</v>
      </c>
      <c r="E296" s="213">
        <f t="shared" si="51"/>
        <v>0</v>
      </c>
      <c r="F296" s="202" cm="1">
        <f t="array" ref="F296">+SUMPRODUCT(('Budget original'!$A$8:$A$501=$A296)*('Budget original'!$C$3:$AO$3=F$2),'Budget original'!$C$8:$AO$501)</f>
        <v>0</v>
      </c>
      <c r="G296" s="200"/>
      <c r="H296" s="213"/>
      <c r="I296" s="202"/>
      <c r="J296" s="184">
        <f>-SUMIFS(BV_Data_An_Cour!$P:$P,BV_Data_An_Cour!$X:$X,"Oui",BV_Data_An_Cour!$U:$U,$B296,BV_Data_An_Cour!$V:$V,$C296)</f>
        <v>507.77</v>
      </c>
      <c r="K296" s="213">
        <f t="shared" si="52"/>
        <v>0.47671189711877426</v>
      </c>
      <c r="L296" s="185">
        <f>-SUMIFS(BV_Data_An_Cour!$P:$P,BV_Data_An_Cour!$U:$U,$B296,BV_Data_An_Cour!$V:$V,$C296,BV_Data_An_Cour!$W:$W,$L$2)</f>
        <v>242.06</v>
      </c>
      <c r="M296" s="298" t="e">
        <f t="shared" si="53"/>
        <v>#DIV/0!</v>
      </c>
      <c r="N296" s="230">
        <f t="shared" si="54"/>
        <v>242.06</v>
      </c>
      <c r="O296" s="184" cm="1">
        <f t="array" ref="O296">+SUMPRODUCT(('Réel 2024'!$A$8:$A$501=$A296)*('Réel 2024'!$C$3:$AO$3=O$2),'Réel 2024'!$C$8:$AO$501)</f>
        <v>607.12</v>
      </c>
      <c r="P296" s="213">
        <f t="shared" si="55"/>
        <v>0.37600474370799841</v>
      </c>
      <c r="Q296" s="185" cm="1">
        <f t="array" ref="Q296">+SUMPRODUCT(('Réel 2024'!$A$8:$A$501=$A296)*('Réel 2024'!$C$3:$AO$3=Q$2),'Réel 2024'!$C$8:$AO$501)</f>
        <v>228.28</v>
      </c>
      <c r="R296" s="298">
        <f t="shared" ref="R296:R303" si="57">IF(O296=0,0,(J296-O296)/O296)</f>
        <v>-0.16364145473711955</v>
      </c>
      <c r="S296" s="202">
        <f t="shared" si="56"/>
        <v>13.780000000000001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201641.10609044027</v>
      </c>
      <c r="E297" s="213">
        <f t="shared" si="51"/>
        <v>0.28499999999999998</v>
      </c>
      <c r="F297" s="202" cm="1">
        <f t="array" ref="F297">+SUMPRODUCT(('Budget original'!$A$8:$A$501=$A297)*('Budget original'!$C$3:$AO$3=F$2),'Budget original'!$C$8:$AO$501)</f>
        <v>57467.715235775475</v>
      </c>
      <c r="G297" s="200"/>
      <c r="H297" s="213"/>
      <c r="I297" s="202"/>
      <c r="J297" s="184">
        <f>-SUMIFS(BV_Data_An_Cour!$P:$P,BV_Data_An_Cour!$X:$X,"Oui",BV_Data_An_Cour!$U:$U,$B297,BV_Data_An_Cour!$V:$V,$C297)</f>
        <v>252703.6</v>
      </c>
      <c r="K297" s="213">
        <f t="shared" si="52"/>
        <v>0.28315690793482967</v>
      </c>
      <c r="L297" s="185">
        <f>-SUMIFS(BV_Data_An_Cour!$P:$P,BV_Data_An_Cour!$U:$U,$B297,BV_Data_An_Cour!$V:$V,$C297,BV_Data_An_Cour!$W:$W,$L$2)</f>
        <v>71554.770000000019</v>
      </c>
      <c r="M297" s="298">
        <f t="shared" si="53"/>
        <v>0.25323454577092597</v>
      </c>
      <c r="N297" s="230">
        <f t="shared" si="54"/>
        <v>14087.054764224544</v>
      </c>
      <c r="O297" s="184" cm="1">
        <f t="array" ref="O297">+SUMPRODUCT(('Réel 2024'!$A$8:$A$501=$A297)*('Réel 2024'!$C$3:$AO$3=O$2),'Réel 2024'!$C$8:$AO$501)</f>
        <v>191823.71999999991</v>
      </c>
      <c r="P297" s="213">
        <f t="shared" si="55"/>
        <v>0.28857771082741918</v>
      </c>
      <c r="Q297" s="185" cm="1">
        <f t="array" ref="Q297">+SUMPRODUCT(('Réel 2024'!$A$8:$A$501=$A297)*('Réel 2024'!$C$3:$AO$3=Q$2),'Réel 2024'!$C$8:$AO$501)</f>
        <v>55356.049999999799</v>
      </c>
      <c r="R297" s="298">
        <f t="shared" si="57"/>
        <v>0.31737409742653366</v>
      </c>
      <c r="S297" s="202">
        <f t="shared" si="56"/>
        <v>16198.720000000219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68759.73068226935</v>
      </c>
      <c r="E298" s="213">
        <f t="shared" si="51"/>
        <v>0.35000000000000003</v>
      </c>
      <c r="F298" s="202" cm="1">
        <f t="array" ref="F298">+SUMPRODUCT(('Budget original'!$A$8:$A$501=$A298)*('Budget original'!$C$3:$AO$3=F$2),'Budget original'!$C$8:$AO$501)</f>
        <v>24065.905738794274</v>
      </c>
      <c r="G298" s="200"/>
      <c r="H298" s="213"/>
      <c r="I298" s="202"/>
      <c r="J298" s="184">
        <f>-SUMIFS(BV_Data_An_Cour!$P:$P,BV_Data_An_Cour!$X:$X,"Oui",BV_Data_An_Cour!$U:$U,$B298,BV_Data_An_Cour!$V:$V,$C298)</f>
        <v>62346.119999999995</v>
      </c>
      <c r="K298" s="213">
        <f t="shared" si="52"/>
        <v>0.3736274205997101</v>
      </c>
      <c r="L298" s="185">
        <f>-SUMIFS(BV_Data_An_Cour!$P:$P,BV_Data_An_Cour!$U:$U,$B298,BV_Data_An_Cour!$V:$V,$C298,BV_Data_An_Cour!$W:$W,$L$2)</f>
        <v>23294.219999999998</v>
      </c>
      <c r="M298" s="298">
        <f t="shared" si="53"/>
        <v>-9.3275680672833011E-2</v>
      </c>
      <c r="N298" s="230">
        <f t="shared" si="54"/>
        <v>-771.6857387942764</v>
      </c>
      <c r="O298" s="184" cm="1">
        <f t="array" ref="O298">+SUMPRODUCT(('Réel 2024'!$A$8:$A$501=$A298)*('Réel 2024'!$C$3:$AO$3=O$2),'Réel 2024'!$C$8:$AO$501)</f>
        <v>50215.679999999993</v>
      </c>
      <c r="P298" s="213">
        <f t="shared" si="55"/>
        <v>0.31926939951823802</v>
      </c>
      <c r="Q298" s="185" cm="1">
        <f t="array" ref="Q298">+SUMPRODUCT(('Réel 2024'!$A$8:$A$501=$A298)*('Réel 2024'!$C$3:$AO$3=Q$2),'Réel 2024'!$C$8:$AO$501)</f>
        <v>16032.329999999991</v>
      </c>
      <c r="R298" s="298">
        <f t="shared" si="57"/>
        <v>0.24156677754836745</v>
      </c>
      <c r="S298" s="202">
        <f t="shared" si="56"/>
        <v>7261.8900000000067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92956.604595871584</v>
      </c>
      <c r="E299" s="213">
        <f t="shared" si="51"/>
        <v>0.3</v>
      </c>
      <c r="F299" s="202" cm="1">
        <f t="array" ref="F299">+SUMPRODUCT(('Budget original'!$A$8:$A$501=$A299)*('Budget original'!$C$3:$AO$3=F$2),'Budget original'!$C$8:$AO$501)</f>
        <v>27886.981378761477</v>
      </c>
      <c r="G299" s="200"/>
      <c r="H299" s="213"/>
      <c r="I299" s="202"/>
      <c r="J299" s="184">
        <f>-SUMIFS(BV_Data_An_Cour!$P:$P,BV_Data_An_Cour!$X:$X,"Oui",BV_Data_An_Cour!$U:$U,$B299,BV_Data_An_Cour!$V:$V,$C299)</f>
        <v>55180.11</v>
      </c>
      <c r="K299" s="213">
        <f t="shared" si="52"/>
        <v>0.29557661265988777</v>
      </c>
      <c r="L299" s="185">
        <f>-SUMIFS(BV_Data_An_Cour!$P:$P,BV_Data_An_Cour!$U:$U,$B299,BV_Data_An_Cour!$V:$V,$C299,BV_Data_An_Cour!$W:$W,$L$2)</f>
        <v>16309.95</v>
      </c>
      <c r="M299" s="298">
        <f t="shared" si="53"/>
        <v>-0.40638849450348064</v>
      </c>
      <c r="N299" s="230">
        <f t="shared" si="54"/>
        <v>-11577.031378761476</v>
      </c>
      <c r="O299" s="184" cm="1">
        <f t="array" ref="O299">+SUMPRODUCT(('Réel 2024'!$A$8:$A$501=$A299)*('Réel 2024'!$C$3:$AO$3=O$2),'Réel 2024'!$C$8:$AO$501)</f>
        <v>97665.859999999797</v>
      </c>
      <c r="P299" s="213">
        <f t="shared" si="55"/>
        <v>0.25908183268953999</v>
      </c>
      <c r="Q299" s="185" cm="1">
        <f t="array" ref="Q299">+SUMPRODUCT(('Réel 2024'!$A$8:$A$501=$A299)*('Réel 2024'!$C$3:$AO$3=Q$2),'Réel 2024'!$C$8:$AO$501)</f>
        <v>25303.449999999983</v>
      </c>
      <c r="R299" s="298">
        <f t="shared" si="57"/>
        <v>-0.43501127210675139</v>
      </c>
      <c r="S299" s="202">
        <f t="shared" si="56"/>
        <v>-8993.4999999999818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196645.76088550454</v>
      </c>
      <c r="E300" s="213">
        <f t="shared" si="51"/>
        <v>0.19999999999999998</v>
      </c>
      <c r="F300" s="202" cm="1">
        <f t="array" ref="F300">+SUMPRODUCT(('Budget original'!$A$8:$A$501=$A300)*('Budget original'!$C$3:$AO$3=F$2),'Budget original'!$C$8:$AO$501)</f>
        <v>39329.152177100907</v>
      </c>
      <c r="G300" s="200"/>
      <c r="H300" s="213"/>
      <c r="I300" s="202"/>
      <c r="J300" s="184">
        <f>-SUMIFS(BV_Data_An_Cour!$P:$P,BV_Data_An_Cour!$X:$X,"Oui",BV_Data_An_Cour!$U:$U,$B300,BV_Data_An_Cour!$V:$V,$C300)</f>
        <v>229043.23</v>
      </c>
      <c r="K300" s="213">
        <f t="shared" si="52"/>
        <v>0.20189075223921704</v>
      </c>
      <c r="L300" s="185">
        <f>-SUMIFS(BV_Data_An_Cour!$P:$P,BV_Data_An_Cour!$U:$U,$B300,BV_Data_An_Cour!$V:$V,$C300,BV_Data_An_Cour!$W:$W,$L$2)</f>
        <v>46241.710000000006</v>
      </c>
      <c r="M300" s="298">
        <f t="shared" si="53"/>
        <v>0.16475040686668371</v>
      </c>
      <c r="N300" s="230">
        <f t="shared" si="54"/>
        <v>6912.5578228990998</v>
      </c>
      <c r="O300" s="184" cm="1">
        <f t="array" ref="O300">+SUMPRODUCT(('Réel 2024'!$A$8:$A$501=$A300)*('Réel 2024'!$C$3:$AO$3=O$2),'Réel 2024'!$C$8:$AO$501)</f>
        <v>187847</v>
      </c>
      <c r="P300" s="213">
        <f t="shared" si="55"/>
        <v>0.19596932610049614</v>
      </c>
      <c r="Q300" s="185" cm="1">
        <f t="array" ref="Q300">+SUMPRODUCT(('Réel 2024'!$A$8:$A$501=$A300)*('Réel 2024'!$C$3:$AO$3=Q$2),'Réel 2024'!$C$8:$AO$501)</f>
        <v>36812.249999999898</v>
      </c>
      <c r="R300" s="298">
        <f t="shared" si="57"/>
        <v>0.21930736184235047</v>
      </c>
      <c r="S300" s="202">
        <f t="shared" si="56"/>
        <v>9429.4600000001083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2024'!$A$8:$A$501=$A301)*('Réel 2024'!$C$3:$AO$3=O$2),'Réel 2024'!$C$8:$AO$501)</f>
        <v>0</v>
      </c>
      <c r="P301" s="213">
        <f t="shared" si="55"/>
        <v>0</v>
      </c>
      <c r="Q301" s="185" cm="1">
        <f t="array" ref="Q301">+SUMPRODUCT(('Réel 2024'!$A$8:$A$501=$A301)*('Réel 2024'!$C$3:$AO$3=Q$2),'Réel 2024'!$C$8:$AO$501)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19622.905097316689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47378.05</v>
      </c>
      <c r="M302" s="298"/>
      <c r="N302" s="230">
        <f t="shared" si="54"/>
        <v>27755.144902683314</v>
      </c>
      <c r="O302" s="184" cm="1">
        <f t="array" ref="O302">+SUMPRODUCT(('Réel 2024'!$A$8:$A$501=$A302)*('Réel 2024'!$C$3:$AO$3=O$2),'Réel 2024'!$C$8:$AO$501)</f>
        <v>0</v>
      </c>
      <c r="P302" s="213">
        <f t="shared" si="55"/>
        <v>0</v>
      </c>
      <c r="Q302" s="185" cm="1">
        <f t="array" ref="Q302">+SUMPRODUCT(('Réel 2024'!$A$8:$A$501=$A302)*('Réel 2024'!$C$3:$AO$3=Q$2),'Réel 2024'!$C$8:$AO$501)</f>
        <v>24438.449999999997</v>
      </c>
      <c r="R302" s="298">
        <f t="shared" si="57"/>
        <v>0</v>
      </c>
      <c r="S302" s="202">
        <f t="shared" si="56"/>
        <v>22939.600000000006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2024'!$A$8:$A$501=$A303)*('Réel 2024'!$C$3:$AO$3=O$2),'Réel 2024'!$C$8:$AO$501)</f>
        <v>0</v>
      </c>
      <c r="P303" s="213">
        <f t="shared" si="55"/>
        <v>0</v>
      </c>
      <c r="Q303" s="185" cm="1">
        <f t="array" ref="Q303">+SUMPRODUCT(('Réel 2024'!$A$8:$A$501=$A303)*('Réel 2024'!$C$3:$AO$3=Q$2),'Réel 2024'!$C$8:$AO$501)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750078.00007373909</v>
      </c>
      <c r="E304" s="300">
        <f>IF(D304&lt;=0,0,F304/D304)</f>
        <v>0.32837028510313993</v>
      </c>
      <c r="F304" s="203">
        <f t="shared" ref="F304" si="58">SUM(F295:F303)</f>
        <v>246303.32673380672</v>
      </c>
      <c r="G304" s="201"/>
      <c r="H304" s="300"/>
      <c r="I304" s="203"/>
      <c r="J304" s="201">
        <f>SUM(J295:J303)</f>
        <v>811436.83</v>
      </c>
      <c r="K304" s="300">
        <f t="shared" si="52"/>
        <v>0.35420566256525482</v>
      </c>
      <c r="L304" s="226">
        <f>SUM(L295:L303)</f>
        <v>287415.52</v>
      </c>
      <c r="M304" s="301">
        <f>(+J304-D304)/D304</f>
        <v>8.1803265687340199E-2</v>
      </c>
      <c r="N304" s="226">
        <f t="shared" si="54"/>
        <v>41112.193266193295</v>
      </c>
      <c r="O304" s="201">
        <f>SUM(O295:O303)</f>
        <v>715817.82999999961</v>
      </c>
      <c r="P304" s="300">
        <f>IF(O304&lt;=0,0,Q304/O304)</f>
        <v>0.32625067470029312</v>
      </c>
      <c r="Q304" s="226">
        <f t="shared" ref="Q304" si="59">SUM(Q295:Q303)</f>
        <v>233536.04999999958</v>
      </c>
      <c r="R304" s="301">
        <f>IF(O304=0,0,(J304-O304)/O304)</f>
        <v>0.13358007581342365</v>
      </c>
      <c r="S304" s="203">
        <f t="shared" si="56"/>
        <v>53879.470000000438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0.16691692236307248</v>
      </c>
      <c r="O305" s="228"/>
      <c r="P305" s="183"/>
      <c r="Q305" s="270"/>
      <c r="R305" s="228"/>
      <c r="S305" s="267">
        <f>IF(Q304=0,0,S304/Q304)</f>
        <v>0.23071157536491918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204123.99264810185</v>
      </c>
      <c r="E307" s="213">
        <f t="shared" ref="E307:E308" si="60">IF(D307=0,0,F307/D307)</f>
        <v>0.23999999999999994</v>
      </c>
      <c r="F307" s="204" cm="1">
        <f t="array" ref="F307">+SUMPRODUCT(('Budget original'!$A$8:$A$501=$A307)*('Budget original'!$C$3:$AO$3=F$2),'Budget original'!$C$8:$AO$501)</f>
        <v>48989.758235544432</v>
      </c>
      <c r="G307" s="200"/>
      <c r="H307" s="213"/>
      <c r="I307" s="204"/>
      <c r="J307" s="184">
        <f>-SUMIFS(BV_Data_An_Cour!$P:$P,BV_Data_An_Cour!$X:$X,"Oui",BV_Data_An_Cour!$U:$U,$B307,BV_Data_An_Cour!$V:$V,$C307)</f>
        <v>271095.28999999998</v>
      </c>
      <c r="K307" s="213">
        <f>IF(J307&lt;=0,0,L307/J307)</f>
        <v>0.24354757325367027</v>
      </c>
      <c r="L307" s="185">
        <f>-SUMIFS(BV_Data_An_Cour!$P:$P,BV_Data_An_Cour!$U:$U,$B307,BV_Data_An_Cour!$V:$V,$C307,BV_Data_An_Cour!$W:$W,$L$2)</f>
        <v>66024.599999999977</v>
      </c>
      <c r="M307" s="298">
        <f>(+J307-D307)/D307</f>
        <v>0.32809125709858533</v>
      </c>
      <c r="N307" s="230">
        <f>L307-F307</f>
        <v>17034.841764455545</v>
      </c>
      <c r="O307" s="184" cm="1">
        <f t="array" ref="O307">+SUMPRODUCT(('Réel 2024'!$A$8:$A$501=$A307)*('Réel 2024'!$C$3:$AO$3=O$2),'Réel 2024'!$C$8:$AO$501)</f>
        <v>186211.69</v>
      </c>
      <c r="P307" s="213">
        <f t="shared" ref="P307:P308" si="61">IF(O307=0,0,Q307/O307)</f>
        <v>0.25088204720122559</v>
      </c>
      <c r="Q307" s="185" cm="1">
        <f t="array" ref="Q307">+SUMPRODUCT(('Réel 2024'!$A$8:$A$501=$A307)*('Réel 2024'!$C$3:$AO$3=Q$2),'Réel 2024'!$C$8:$AO$501)</f>
        <v>46717.169999999984</v>
      </c>
      <c r="R307" s="298">
        <f>IF(O307=0,0,(J307-O307)/O307)</f>
        <v>0.45584463574762668</v>
      </c>
      <c r="S307" s="202">
        <f>L307-Q307</f>
        <v>19307.429999999993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35890.908081529036</v>
      </c>
      <c r="E308" s="213">
        <f t="shared" si="60"/>
        <v>0.34399999999999997</v>
      </c>
      <c r="F308" s="205" cm="1">
        <f t="array" ref="F308">+SUMPRODUCT(('Budget original'!$A$8:$A$501=$A308)*('Budget original'!$C$3:$AO$3=F$2),'Budget original'!$C$8:$AO$501)</f>
        <v>12346.472380045987</v>
      </c>
      <c r="G308" s="200"/>
      <c r="H308" s="213"/>
      <c r="I308" s="205"/>
      <c r="J308" s="184">
        <f>-SUMIFS(BV_Data_An_Cour!$P:$P,BV_Data_An_Cour!$X:$X,"Oui",BV_Data_An_Cour!$U:$U,$B308,BV_Data_An_Cour!$V:$V,$C308)</f>
        <v>37465.980000000003</v>
      </c>
      <c r="K308" s="213">
        <f>IF(J308&lt;=0,0,L308/J308)</f>
        <v>0.35959876132961166</v>
      </c>
      <c r="L308" s="185">
        <f>-SUMIFS(BV_Data_An_Cour!$P:$P,BV_Data_An_Cour!$U:$U,$B308,BV_Data_An_Cour!$V:$V,$C308,BV_Data_An_Cour!$W:$W,$L$2)</f>
        <v>13472.720000000005</v>
      </c>
      <c r="M308" s="298">
        <f>(+J308-D308)/D308</f>
        <v>4.388498376505455E-2</v>
      </c>
      <c r="N308" s="230">
        <f>L308-F308</f>
        <v>1126.2476199540179</v>
      </c>
      <c r="O308" s="184" cm="1">
        <f t="array" ref="O308">+SUMPRODUCT(('Réel 2024'!$A$8:$A$501=$A308)*('Réel 2024'!$C$3:$AO$3=O$2),'Réel 2024'!$C$8:$AO$501)</f>
        <v>37213.639999999992</v>
      </c>
      <c r="P308" s="213">
        <f t="shared" si="61"/>
        <v>0.33969211289193918</v>
      </c>
      <c r="Q308" s="185" cm="1">
        <f t="array" ref="Q308">+SUMPRODUCT(('Réel 2024'!$A$8:$A$501=$A308)*('Réel 2024'!$C$3:$AO$3=Q$2),'Réel 2024'!$C$8:$AO$501)</f>
        <v>12641.17999999998</v>
      </c>
      <c r="R308" s="298">
        <f>IF(O308=0,0,(J308-O308)/O308)</f>
        <v>6.7808470227586209E-3</v>
      </c>
      <c r="S308" s="202">
        <f>L308-Q308</f>
        <v>831.54000000002452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990092.90080337005</v>
      </c>
      <c r="E309" s="300">
        <f>IF(D309&lt;=0,0,F309/D309)</f>
        <v>0.31071787011074992</v>
      </c>
      <c r="F309" s="226">
        <f t="shared" ref="F309" si="62">F304+F307+F308</f>
        <v>307639.55734939716</v>
      </c>
      <c r="G309" s="227"/>
      <c r="H309" s="300"/>
      <c r="I309" s="226"/>
      <c r="J309" s="227">
        <f>J304+J307+J308</f>
        <v>1119998.0999999999</v>
      </c>
      <c r="K309" s="300">
        <f>IF(J309&lt;=0,0,L309/J309)</f>
        <v>0.32760130575221519</v>
      </c>
      <c r="L309" s="226">
        <f>L304+L307+L308</f>
        <v>366912.84</v>
      </c>
      <c r="M309" s="301">
        <f>(+J309-D309)/D309</f>
        <v>0.13120506074856569</v>
      </c>
      <c r="N309" s="226">
        <f>L309-F309</f>
        <v>59273.282650602865</v>
      </c>
      <c r="O309" s="227">
        <f>O304+O307+O308</f>
        <v>939243.15999999957</v>
      </c>
      <c r="P309" s="300">
        <f>IF(O309&lt;=0,0,Q309/O309)</f>
        <v>0.31184086557521451</v>
      </c>
      <c r="Q309" s="226">
        <f t="shared" ref="Q309" si="63">Q304+Q307+Q308</f>
        <v>292894.39999999956</v>
      </c>
      <c r="R309" s="301">
        <f>IF(O309=0,0,(J309-O309)/O309)</f>
        <v>0.19244743821184748</v>
      </c>
      <c r="S309" s="203">
        <f>L309-Q309</f>
        <v>74018.440000000468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0.19267119989801604</v>
      </c>
      <c r="O310" s="228"/>
      <c r="P310" s="183"/>
      <c r="Q310" s="270"/>
      <c r="R310" s="228"/>
      <c r="S310" s="267">
        <f>IF(Q309=0,0,S309/Q309)</f>
        <v>0.25271374256387485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 hidden="1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2024'!$A$8:$A$501=$A312)*('Réel 2024'!$C$3:$AO$3=O$2),'Réel 2024'!$C$8:$AO$501)</f>
        <v>0</v>
      </c>
      <c r="P312" s="306">
        <f>IF(O312=0,0,Q312/O312)</f>
        <v>0</v>
      </c>
      <c r="Q312" s="182" cm="1">
        <f t="array" ref="Q312">+SUMPRODUCT(('Réel 2024'!$A$8:$A$501=$A312)*('Réel 2024'!$C$3:$AO$3=Q$2),'Réel 2024'!$C$8:$AO$501)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990092.90080337005</v>
      </c>
      <c r="E314" s="71">
        <f>IF(D314&lt;=0,0,F314/D314)</f>
        <v>0.31071787011074992</v>
      </c>
      <c r="F314" s="28">
        <f t="shared" ref="F314" si="64">F309+F312</f>
        <v>307639.55734939716</v>
      </c>
      <c r="G314" s="29"/>
      <c r="H314" s="71"/>
      <c r="I314" s="28"/>
      <c r="J314" s="29">
        <f>J309+J312</f>
        <v>1119998.0999999999</v>
      </c>
      <c r="K314" s="71">
        <f>IF(J314&lt;=0,0,L314/J314)</f>
        <v>0.32760130575221519</v>
      </c>
      <c r="L314" s="28">
        <f>L309+L312</f>
        <v>366912.84</v>
      </c>
      <c r="M314" s="72">
        <f>(+J314-D314)/D314</f>
        <v>0.13120506074856569</v>
      </c>
      <c r="N314" s="73">
        <f>L314-F314</f>
        <v>59273.282650602865</v>
      </c>
      <c r="O314" s="29">
        <f>O309+O312</f>
        <v>939243.15999999957</v>
      </c>
      <c r="P314" s="71">
        <f>IF(O314&lt;=0,0,Q314/O314)</f>
        <v>0.31184086557521451</v>
      </c>
      <c r="Q314" s="28">
        <f t="shared" ref="Q314" si="65">Q309+Q312</f>
        <v>292894.39999999956</v>
      </c>
      <c r="R314" s="72">
        <f>IF(O314=0,0,(J314-O314)/O314)</f>
        <v>0.19244743821184748</v>
      </c>
      <c r="S314" s="262">
        <f>L314-Q314</f>
        <v>74018.440000000468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0.19267119989801604</v>
      </c>
      <c r="O315" s="77"/>
      <c r="P315" s="75"/>
      <c r="Q315" s="76"/>
      <c r="R315" s="78"/>
      <c r="S315" s="264">
        <f>IF(Q314=0,0,S314/Q314)</f>
        <v>0.25271374256387485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16997.491895078107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12917.28</v>
      </c>
      <c r="M318" s="228"/>
      <c r="N318" s="230">
        <f t="shared" ref="N318:N348" si="66">L318-F318</f>
        <v>-4080.211895078106</v>
      </c>
      <c r="O318" s="228"/>
      <c r="P318" s="183"/>
      <c r="Q318" s="185" cm="1">
        <f t="array" ref="Q318">+SUMPRODUCT(('Réel 2024'!$A$8:$A$501=$A318)*('Réel 2024'!$C$3:$AO$3=Q$2),'Réel 2024'!$C$8:$AO$501)</f>
        <v>14940.18</v>
      </c>
      <c r="R318" s="228"/>
      <c r="S318" s="202">
        <f>L318-Q318</f>
        <v>-2022.8999999999996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11183.961685823755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10964.4</v>
      </c>
      <c r="M319" s="228"/>
      <c r="N319" s="230">
        <f t="shared" si="66"/>
        <v>-219.5616858237554</v>
      </c>
      <c r="O319" s="228"/>
      <c r="P319" s="183"/>
      <c r="Q319" s="185" cm="1">
        <f t="array" ref="Q319">+SUMPRODUCT(('Réel 2024'!$A$8:$A$501=$A319)*('Réel 2024'!$C$3:$AO$3=Q$2),'Réel 2024'!$C$8:$AO$501)</f>
        <v>10029.759999999998</v>
      </c>
      <c r="R319" s="228"/>
      <c r="S319" s="202">
        <f t="shared" ref="S319:S343" si="67">L319-Q319</f>
        <v>934.64000000000124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56433.729042145591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54505.04</v>
      </c>
      <c r="M320" s="278"/>
      <c r="N320" s="279">
        <f t="shared" si="66"/>
        <v>-1928.6890421455901</v>
      </c>
      <c r="O320" s="278"/>
      <c r="P320" s="276"/>
      <c r="Q320" s="186" cm="1">
        <f t="array" ref="Q320">+SUMPRODUCT(('Réel 2024'!$A$8:$A$501=$A320)*('Réel 2024'!$C$3:$AO$3=Q$2),'Réel 2024'!$C$8:$AO$501)</f>
        <v>49893.499999999993</v>
      </c>
      <c r="R320" s="278"/>
      <c r="S320" s="204">
        <f t="shared" si="67"/>
        <v>4611.5400000000081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2024'!$A$8:$A$501=$A321)*('Réel 2024'!$C$3:$AO$3=Q$2),'Réel 2024'!$C$8:$AO$501)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2024'!$A$8:$A$501=$A322)*('Réel 2024'!$C$3:$AO$3=Q$2),'Réel 2024'!$C$8:$AO$501)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2024'!$A$8:$A$501=$A323)*('Réel 2024'!$C$3:$AO$3=Q$2),'Réel 2024'!$C$8:$AO$501)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2024'!$A$8:$A$501=$A324)*('Réel 2024'!$C$3:$AO$3=Q$2),'Réel 2024'!$C$8:$AO$501)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10654.596456332139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10571.35</v>
      </c>
      <c r="M325" s="228"/>
      <c r="N325" s="230">
        <f t="shared" si="66"/>
        <v>-83.246456332139132</v>
      </c>
      <c r="O325" s="228"/>
      <c r="P325" s="183"/>
      <c r="Q325" s="185" cm="1">
        <f t="array" ref="Q325">+SUMPRODUCT(('Réel 2024'!$A$8:$A$501=$A325)*('Réel 2024'!$C$3:$AO$3=Q$2),'Réel 2024'!$C$8:$AO$501)</f>
        <v>10767.589999999998</v>
      </c>
      <c r="R325" s="228"/>
      <c r="S325" s="202">
        <f t="shared" si="67"/>
        <v>-196.23999999999796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14632.855700436194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14392.63</v>
      </c>
      <c r="M326" s="278"/>
      <c r="N326" s="279">
        <f t="shared" si="66"/>
        <v>-240.22570043619453</v>
      </c>
      <c r="O326" s="278"/>
      <c r="P326" s="276"/>
      <c r="Q326" s="186" cm="1">
        <f t="array" ref="Q326">+SUMPRODUCT(('Réel 2024'!$A$8:$A$501=$A326)*('Réel 2024'!$C$3:$AO$3=Q$2),'Réel 2024'!$C$8:$AO$501)</f>
        <v>13903.900000000001</v>
      </c>
      <c r="R326" s="278"/>
      <c r="S326" s="204">
        <f t="shared" si="67"/>
        <v>488.72999999999774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6710.0612361921612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7033.96</v>
      </c>
      <c r="M327" s="228"/>
      <c r="N327" s="230">
        <f t="shared" si="66"/>
        <v>323.8987638078388</v>
      </c>
      <c r="O327" s="228"/>
      <c r="P327" s="183"/>
      <c r="Q327" s="185" cm="1">
        <f t="array" ref="Q327">+SUMPRODUCT(('Réel 2024'!$A$8:$A$501=$A327)*('Réel 2024'!$C$3:$AO$3=Q$2),'Réel 2024'!$C$8:$AO$501)</f>
        <v>7369.72</v>
      </c>
      <c r="R327" s="228"/>
      <c r="S327" s="202">
        <f t="shared" si="67"/>
        <v>-335.76000000000022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1437.8702648983199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1838.01</v>
      </c>
      <c r="M328" s="763"/>
      <c r="N328" s="199">
        <f t="shared" si="66"/>
        <v>400.13973510168012</v>
      </c>
      <c r="O328" s="228"/>
      <c r="P328" s="183"/>
      <c r="Q328" s="185" cm="1">
        <f t="array" ref="Q328">+SUMPRODUCT(('Réel 2024'!$A$8:$A$501=$A328)*('Réel 2024'!$C$3:$AO$3=Q$2),'Réel 2024'!$C$8:$AO$501)</f>
        <v>1580.23</v>
      </c>
      <c r="R328" s="228"/>
      <c r="S328" s="202">
        <f t="shared" si="67"/>
        <v>257.77999999999997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2024'!$A$8:$A$501=$A329)*('Réel 2024'!$C$3:$AO$3=Q$2),'Réel 2024'!$C$8:$AO$501)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0.38373012657417155</v>
      </c>
      <c r="F330" s="41">
        <f>+SUM(F318:F329)</f>
        <v>118050.56628090628</v>
      </c>
      <c r="G330" s="42"/>
      <c r="H330" s="40"/>
      <c r="I330" s="41"/>
      <c r="J330" s="42" t="s">
        <v>108</v>
      </c>
      <c r="K330" s="40">
        <f>L330/L$314</f>
        <v>0.30585648079255007</v>
      </c>
      <c r="L330" s="41">
        <f>+SUM(L318:L329)</f>
        <v>112222.67000000001</v>
      </c>
      <c r="M330" s="43"/>
      <c r="N330" s="46">
        <f t="shared" si="66"/>
        <v>-5827.896280906265</v>
      </c>
      <c r="O330" s="42" t="s">
        <v>108</v>
      </c>
      <c r="P330" s="40">
        <f>Q330/Q$314</f>
        <v>0.37038905489487051</v>
      </c>
      <c r="Q330" s="41">
        <f>+SUM(Q318:Q329)</f>
        <v>108484.87999999999</v>
      </c>
      <c r="R330" s="43"/>
      <c r="S330" s="286">
        <f t="shared" si="67"/>
        <v>3737.7900000000227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13133.607979424647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14111.31</v>
      </c>
      <c r="M331" s="228"/>
      <c r="N331" s="230">
        <f t="shared" si="66"/>
        <v>977.70202057535244</v>
      </c>
      <c r="O331" s="228"/>
      <c r="P331" s="183"/>
      <c r="Q331" s="185" cm="1">
        <f t="array" ref="Q331">+SUMPRODUCT(('Réel 2024'!$A$8:$A$501=$A331)*('Réel 2024'!$C$3:$AO$3=Q$2),'Réel 2024'!$C$8:$AO$501)</f>
        <v>11994.99</v>
      </c>
      <c r="R331" s="228"/>
      <c r="S331" s="202">
        <f t="shared" si="67"/>
        <v>2116.3199999999997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2300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958.53</v>
      </c>
      <c r="M332" s="228"/>
      <c r="N332" s="230">
        <f t="shared" si="66"/>
        <v>-1341.47</v>
      </c>
      <c r="O332" s="228"/>
      <c r="P332" s="183"/>
      <c r="Q332" s="185" cm="1">
        <f t="array" ref="Q332">+SUMPRODUCT(('Réel 2024'!$A$8:$A$501=$A332)*('Réel 2024'!$C$3:$AO$3=Q$2),'Réel 2024'!$C$8:$AO$501)</f>
        <v>5094.09</v>
      </c>
      <c r="R332" s="228"/>
      <c r="S332" s="202">
        <f t="shared" si="67"/>
        <v>-4135.5600000000004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19015.733333333334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19252.64</v>
      </c>
      <c r="M333" s="283"/>
      <c r="N333" s="284">
        <f t="shared" si="66"/>
        <v>236.90666666666584</v>
      </c>
      <c r="O333" s="283"/>
      <c r="P333" s="281"/>
      <c r="Q333" s="185" cm="1">
        <f t="array" ref="Q333">+SUMPRODUCT(('Réel 2024'!$A$8:$A$501=$A333)*('Réel 2024'!$C$3:$AO$3=Q$2),'Réel 2024'!$C$8:$AO$501)</f>
        <v>14308.86999999999</v>
      </c>
      <c r="R333" s="283"/>
      <c r="S333" s="205">
        <f t="shared" si="67"/>
        <v>4943.7700000000095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7307.2000000000007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7993.08</v>
      </c>
      <c r="M334" s="228"/>
      <c r="N334" s="230">
        <f t="shared" si="66"/>
        <v>685.8799999999992</v>
      </c>
      <c r="O334" s="228"/>
      <c r="P334" s="183"/>
      <c r="Q334" s="186" cm="1">
        <f t="array" ref="Q334">+SUMPRODUCT(('Réel 2024'!$A$8:$A$501=$A334)*('Réel 2024'!$C$3:$AO$3=Q$2),'Réel 2024'!$C$8:$AO$501)</f>
        <v>7038.26</v>
      </c>
      <c r="R334" s="228"/>
      <c r="S334" s="202">
        <f t="shared" si="67"/>
        <v>954.81999999999971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1466.6666666666667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1410.24</v>
      </c>
      <c r="M335" s="228"/>
      <c r="N335" s="230">
        <f t="shared" si="66"/>
        <v>-56.426666666666733</v>
      </c>
      <c r="O335" s="228"/>
      <c r="P335" s="183"/>
      <c r="Q335" s="185" cm="1">
        <f t="array" ref="Q335">+SUMPRODUCT(('Réel 2024'!$A$8:$A$501=$A335)*('Réel 2024'!$C$3:$AO$3=Q$2),'Réel 2024'!$C$8:$AO$501)</f>
        <v>1714.04</v>
      </c>
      <c r="R335" s="228"/>
      <c r="S335" s="202">
        <f t="shared" si="67"/>
        <v>-303.79999999999995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8092.8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9296.42</v>
      </c>
      <c r="M336" s="283"/>
      <c r="N336" s="284">
        <f t="shared" si="66"/>
        <v>1203.6199999999999</v>
      </c>
      <c r="O336" s="283"/>
      <c r="P336" s="281"/>
      <c r="Q336" s="355" cm="1">
        <f t="array" ref="Q336">+SUMPRODUCT(('Réel 2024'!$A$8:$A$501=$A336)*('Réel 2024'!$C$3:$AO$3=Q$2),'Réel 2024'!$C$8:$AO$501)</f>
        <v>7059.88</v>
      </c>
      <c r="R336" s="283"/>
      <c r="S336" s="205">
        <f t="shared" si="67"/>
        <v>2236.54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40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3.24</v>
      </c>
      <c r="M338" s="228"/>
      <c r="N338" s="230">
        <f t="shared" si="66"/>
        <v>-36.76</v>
      </c>
      <c r="O338" s="228"/>
      <c r="P338" s="183"/>
      <c r="Q338" s="185" cm="1">
        <f t="array" ref="Q338">+SUMPRODUCT(('Réel 2024'!$A$8:$A$501=$A338)*('Réel 2024'!$C$3:$AO$3=Q$2),'Réel 2024'!$C$8:$AO$501)</f>
        <v>1.25</v>
      </c>
      <c r="R338" s="228"/>
      <c r="S338" s="202">
        <f t="shared" si="67"/>
        <v>1.9900000000000002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80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159.96</v>
      </c>
      <c r="M339" s="228"/>
      <c r="N339" s="230">
        <f t="shared" si="66"/>
        <v>79.960000000000008</v>
      </c>
      <c r="O339" s="228"/>
      <c r="P339" s="183"/>
      <c r="Q339" s="185" cm="1">
        <f t="array" ref="Q339">+SUMPRODUCT(('Réel 2024'!$A$8:$A$501=$A339)*('Réel 2024'!$C$3:$AO$3=Q$2),'Réel 2024'!$C$8:$AO$501)</f>
        <v>0</v>
      </c>
      <c r="R339" s="228"/>
      <c r="S339" s="202">
        <f t="shared" si="67"/>
        <v>159.96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1260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752.65</v>
      </c>
      <c r="M340" s="228"/>
      <c r="N340" s="230">
        <f t="shared" si="66"/>
        <v>-507.35</v>
      </c>
      <c r="O340" s="228"/>
      <c r="P340" s="183"/>
      <c r="Q340" s="478" cm="1">
        <f t="array" ref="Q340">+SUMPRODUCT(('Réel 2024'!$A$8:$A$501=$A340)*('Réel 2024'!$C$3:$AO$3=Q$2),'Réel 2024'!$C$8:$AO$501)</f>
        <v>1302.67</v>
      </c>
      <c r="R340" s="228"/>
      <c r="S340" s="202">
        <f t="shared" si="67"/>
        <v>-550.0200000000001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473.6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785.16</v>
      </c>
      <c r="M341" s="228"/>
      <c r="N341" s="230">
        <f t="shared" si="66"/>
        <v>311.55999999999995</v>
      </c>
      <c r="O341" s="228"/>
      <c r="P341" s="183"/>
      <c r="Q341" s="185" cm="1">
        <f t="array" ref="Q341">+SUMPRODUCT(('Réel 2024'!$A$8:$A$501=$A341)*('Réel 2024'!$C$3:$AO$3=Q$2),'Réel 2024'!$C$8:$AO$501)</f>
        <v>461.88</v>
      </c>
      <c r="R341" s="228"/>
      <c r="S341" s="202">
        <f t="shared" si="67"/>
        <v>323.27999999999997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2360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3873.07</v>
      </c>
      <c r="M342" s="228"/>
      <c r="N342" s="230">
        <f t="shared" si="66"/>
        <v>1513.0700000000002</v>
      </c>
      <c r="O342" s="228"/>
      <c r="P342" s="183"/>
      <c r="Q342" s="185" cm="1">
        <f t="array" ref="Q342">+SUMPRODUCT(('Réel 2024'!$A$8:$A$501=$A342)*('Réel 2024'!$C$3:$AO$3=Q$2),'Réel 2024'!$C$8:$AO$501)</f>
        <v>4033.32</v>
      </c>
      <c r="R342" s="228"/>
      <c r="S342" s="202">
        <f t="shared" si="67"/>
        <v>-160.25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1392.8000000000002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1218.69</v>
      </c>
      <c r="M343" s="228"/>
      <c r="N343" s="230">
        <f t="shared" si="66"/>
        <v>-174.11000000000013</v>
      </c>
      <c r="O343" s="228"/>
      <c r="P343" s="183"/>
      <c r="Q343" s="185" cm="1">
        <f t="array" ref="Q343">+SUMPRODUCT(('Réel 2024'!$A$8:$A$501=$A343)*('Réel 2024'!$C$3:$AO$3=Q$2),'Réel 2024'!$C$8:$AO$501)</f>
        <v>1410.76</v>
      </c>
      <c r="R343" s="228"/>
      <c r="S343" s="202">
        <f t="shared" si="67"/>
        <v>-192.06999999999994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1025.6595733333331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801.65</v>
      </c>
      <c r="M344" s="228"/>
      <c r="N344" s="230">
        <f t="shared" si="66"/>
        <v>-224.00957333333315</v>
      </c>
      <c r="O344" s="228"/>
      <c r="P344" s="183"/>
      <c r="Q344" s="185" cm="1">
        <f t="array" ref="Q344">+SUMPRODUCT(('Réel 2024'!$A$8:$A$501=$A344)*('Réel 2024'!$C$3:$AO$3=Q$2),'Réel 2024'!$C$8:$AO$501)</f>
        <v>152.83999999999995</v>
      </c>
      <c r="R344" s="228"/>
      <c r="S344" s="202">
        <f>L344-Q344</f>
        <v>648.81000000000006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4920.9953245487122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4883.6000000000004</v>
      </c>
      <c r="M345" s="228"/>
      <c r="N345" s="230">
        <f t="shared" si="66"/>
        <v>-37.395324548711869</v>
      </c>
      <c r="O345" s="228"/>
      <c r="P345" s="183"/>
      <c r="Q345" s="185" cm="1">
        <f t="array" ref="Q345">+SUMPRODUCT(('Réel 2024'!$A$8:$A$501=$A345)*('Réel 2024'!$C$3:$AO$3=Q$2),'Réel 2024'!$C$8:$AO$501)</f>
        <v>4605.34</v>
      </c>
      <c r="R345" s="228"/>
      <c r="S345" s="202">
        <f>L345-Q345</f>
        <v>278.26000000000022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2024'!$A$8:$A$501=$A346)*('Réel 2024'!$C$3:$AO$3=Q$2),'Réel 2024'!$C$8:$AO$501)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2024'!$A$8:$A$501=$A347)*('Réel 2024'!$C$3:$AO$3=Q$2),'Réel 2024'!$C$8:$AO$501)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2024'!$A$8:$A$501=$A348)*('Réel 2024'!$C$3:$AO$3=Q$2),'Réel 2024'!$C$8:$AO$501)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0.2043594894589712</v>
      </c>
      <c r="F349" s="41">
        <f>+SUM(F331:F348)</f>
        <v>62869.062877306693</v>
      </c>
      <c r="G349" s="42"/>
      <c r="H349" s="40"/>
      <c r="I349" s="41"/>
      <c r="J349" s="42" t="s">
        <v>108</v>
      </c>
      <c r="K349" s="40">
        <f>L349/L$314</f>
        <v>0.1785171650030018</v>
      </c>
      <c r="L349" s="41">
        <f>+SUM(L331:L348)</f>
        <v>65500.24</v>
      </c>
      <c r="M349" s="44"/>
      <c r="N349" s="41">
        <f>+SUM(N331:N348)</f>
        <v>2631.1771226933056</v>
      </c>
      <c r="O349" s="42" t="s">
        <v>108</v>
      </c>
      <c r="P349" s="40">
        <f>Q349/Q$314</f>
        <v>0.20204616407824827</v>
      </c>
      <c r="Q349" s="41">
        <f>+SUM(Q331:Q348)</f>
        <v>59178.189999999988</v>
      </c>
      <c r="R349" s="44"/>
      <c r="S349" s="290">
        <f>+SUM(S331:S348)</f>
        <v>6322.0500000000084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0.5880896160331428</v>
      </c>
      <c r="F351" s="41">
        <f>F330+F349</f>
        <v>180919.62915821298</v>
      </c>
      <c r="G351" s="42"/>
      <c r="H351" s="40"/>
      <c r="I351" s="41"/>
      <c r="J351" s="42" t="s">
        <v>108</v>
      </c>
      <c r="K351" s="40">
        <f>L351/L$314</f>
        <v>0.48437364579555187</v>
      </c>
      <c r="L351" s="41">
        <f>L330+L349</f>
        <v>177722.91</v>
      </c>
      <c r="M351" s="44"/>
      <c r="N351" s="46">
        <f>L351-F351</f>
        <v>-3196.7191582129744</v>
      </c>
      <c r="O351" s="42" t="s">
        <v>108</v>
      </c>
      <c r="P351" s="40">
        <f>Q351/Q$314</f>
        <v>0.57243521897311878</v>
      </c>
      <c r="Q351" s="41">
        <f>Q330+Q349</f>
        <v>167663.06999999998</v>
      </c>
      <c r="R351" s="44"/>
      <c r="S351" s="286">
        <f>L351-Q351</f>
        <v>10059.840000000026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126719.92819118418</v>
      </c>
      <c r="G353" s="312"/>
      <c r="H353" s="310"/>
      <c r="I353" s="311"/>
      <c r="J353" s="313"/>
      <c r="K353" s="314"/>
      <c r="L353" s="311">
        <f>L314-L351</f>
        <v>189189.93000000002</v>
      </c>
      <c r="M353" s="313"/>
      <c r="N353" s="311">
        <f>L353-F353</f>
        <v>62470.001808815839</v>
      </c>
      <c r="O353" s="313"/>
      <c r="P353" s="314"/>
      <c r="Q353" s="311">
        <f>Q314-Q351</f>
        <v>125231.32999999958</v>
      </c>
      <c r="R353" s="313"/>
      <c r="S353" s="315">
        <f>L353-Q353</f>
        <v>63958.600000000442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Avril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39" t="s">
        <v>77</v>
      </c>
      <c r="E358" s="1240"/>
      <c r="F358" s="1241"/>
      <c r="G358" s="1244"/>
      <c r="H358" s="1240"/>
      <c r="I358" s="1241"/>
      <c r="J358" s="1244" t="s">
        <v>78</v>
      </c>
      <c r="K358" s="1240"/>
      <c r="L358" s="1241"/>
      <c r="M358" s="1244"/>
      <c r="N358" s="1241"/>
      <c r="O358" s="1239" t="s">
        <v>79</v>
      </c>
      <c r="P358" s="1240"/>
      <c r="Q358" s="1241"/>
      <c r="R358" s="1244" t="s">
        <v>80</v>
      </c>
      <c r="S358" s="1248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23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2024'!$A$8:$A$501=$A365)*('Réel 2024'!$C$3:$AO$3=Q$2),'Réel 2024'!$C$8:$AO$501)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2024'!$A$8:$A$501=$A366)*('Réel 2024'!$C$3:$AO$3=Q$2),'Réel 2024'!$C$8:$AO$501)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2024'!$A$8:$A$501=$A367)*('Réel 2024'!$C$3:$AO$3=Q$2),'Réel 2024'!$C$8:$AO$501)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2024'!$A$8:$A$501=$A368)*('Réel 2024'!$C$3:$AO$3=Q$2),'Réel 2024'!$C$8:$AO$501)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2024'!$A$8:$A$501=$A369)*('Réel 2024'!$C$3:$AO$3=Q$2),'Réel 2024'!$C$8:$AO$501)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2024'!$A$8:$A$501=$A370)*('Réel 2024'!$C$3:$AO$3=Q$2),'Réel 2024'!$C$8:$AO$501)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2024'!$A$8:$A$501=$A371)*('Réel 2024'!$C$3:$AO$3=Q$2),'Réel 2024'!$C$8:$AO$501)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2024'!$A$8:$A$501=$A372)*('Réel 2024'!$C$3:$AO$3=Q$2),'Réel 2024'!$C$8:$AO$501)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2024'!$A$8:$A$501=$A373)*('Réel 2024'!$C$3:$AO$3=Q$2),'Réel 2024'!$C$8:$AO$501)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2024'!$A$8:$A$501=$A374)*('Réel 2024'!$C$3:$AO$3=Q$2),'Réel 2024'!$C$8:$AO$501)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2024'!$A$8:$A$501=$A375)*('Réel 2024'!$C$3:$AO$3=Q$2),'Réel 2024'!$C$8:$AO$501)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2024'!$A$8:$A$501=$A376)*('Réel 2024'!$C$3:$AO$3=Q$2),'Réel 2024'!$C$8:$AO$501)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2024'!$A$8:$A$501=$A378)*('Réel 2024'!$C$3:$AO$3=Q$2),'Réel 2024'!$C$8:$AO$501)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2024'!$A$8:$A$501=$A379)*('Réel 2024'!$C$3:$AO$3=Q$2),'Réel 2024'!$C$8:$AO$501)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2024'!$A$8:$A$501=$A380)*('Réel 2024'!$C$3:$AO$3=Q$2),'Réel 2024'!$C$8:$AO$501)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2024'!$A$8:$A$501=$A381)*('Réel 2024'!$C$3:$AO$3=Q$2),'Réel 2024'!$C$8:$AO$501)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2024'!$A$8:$A$501=$A382)*('Réel 2024'!$C$3:$AO$3=Q$2),'Réel 2024'!$C$8:$AO$501)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2024'!$A$8:$A$501=$A383)*('Réel 2024'!$C$3:$AO$3=Q$2),'Réel 2024'!$C$8:$AO$501)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2024'!$A$8:$A$501=$A384)*('Réel 2024'!$C$3:$AO$3=Q$2),'Réel 2024'!$C$8:$AO$501)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2024'!$A$8:$A$501=$A385)*('Réel 2024'!$C$3:$AO$3=Q$2),'Réel 2024'!$C$8:$AO$501)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2024'!$A$8:$A$501=$A386)*('Réel 2024'!$C$3:$AO$3=Q$2),'Réel 2024'!$C$8:$AO$501)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2024'!$A$8:$A$501=$A387)*('Réel 2024'!$C$3:$AO$3=Q$2),'Réel 2024'!$C$8:$AO$501)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2024'!$A$8:$A$501=$A388)*('Réel 2024'!$C$3:$AO$3=Q$2),'Réel 2024'!$C$8:$AO$501)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2024'!$A$8:$A$501=$A389)*('Réel 2024'!$C$3:$AO$3=Q$2),'Réel 2024'!$C$8:$AO$501)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2024'!$A$8:$A$501=$A390)*('Réel 2024'!$C$3:$AO$3=Q$2),'Réel 2024'!$C$8:$AO$501)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2024'!$A$8:$A$501=$A391)*('Réel 2024'!$C$3:$AO$3=Q$2),'Réel 2024'!$C$8:$AO$501)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2024'!$A$8:$A$501=$A392)*('Réel 2024'!$C$3:$AO$3=Q$2),'Réel 2024'!$C$8:$AO$501)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2024'!$A$8:$A$501=$A393)*('Réel 2024'!$C$3:$AO$3=Q$2),'Réel 2024'!$C$8:$AO$501)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2024'!$A$8:$A$501=$A394)*('Réel 2024'!$C$3:$AO$3=Q$2),'Réel 2024'!$C$8:$AO$501)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58042.186494285241</v>
      </c>
      <c r="G401" s="25"/>
      <c r="H401" s="25"/>
      <c r="I401" s="25"/>
      <c r="J401" s="25"/>
      <c r="K401" s="25"/>
      <c r="L401" s="37">
        <f>L353+L289+L233</f>
        <v>192183.60000000006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Avril 2025 AAD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49" t="s">
        <v>186</v>
      </c>
      <c r="Y404" s="1246"/>
      <c r="Z404" s="1250"/>
      <c r="AA404" s="1245"/>
      <c r="AB404" s="1246"/>
      <c r="AC404" s="1250"/>
      <c r="AD404" s="1245" t="s">
        <v>78</v>
      </c>
      <c r="AE404" s="1246"/>
      <c r="AF404" s="1250"/>
      <c r="AG404" s="1245" t="s">
        <v>2443</v>
      </c>
      <c r="AH404" s="1246"/>
      <c r="AI404" s="1250"/>
      <c r="AJ404" s="1245" t="s">
        <v>2336</v>
      </c>
      <c r="AK404" s="1246"/>
      <c r="AL404" s="1246"/>
      <c r="AM404" s="1245" t="s">
        <v>187</v>
      </c>
      <c r="AN404" s="1246"/>
      <c r="AO404" s="1247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14912107.044087008</v>
      </c>
      <c r="AA406" s="393"/>
      <c r="AB406" s="393"/>
      <c r="AC406" s="394"/>
      <c r="AD406" s="395"/>
      <c r="AE406" s="396"/>
      <c r="AF406" s="396">
        <f>L5+L93+K194+K250+J314+J362</f>
        <v>13335236.660000002</v>
      </c>
      <c r="AG406" s="395"/>
      <c r="AH406" s="396"/>
      <c r="AI406" s="397"/>
      <c r="AJ406" s="395"/>
      <c r="AK406" s="396"/>
      <c r="AL406" s="396">
        <f>Q5+Q93+P194+P250+O314+O362</f>
        <v>12741380.869999977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1350395.9445682117</v>
      </c>
      <c r="AA407" s="81"/>
      <c r="AB407" s="81"/>
      <c r="AC407" s="82"/>
      <c r="AD407" s="83"/>
      <c r="AE407" s="84"/>
      <c r="AF407" s="84">
        <f>L27+L108+L194+L250+L314+L362</f>
        <v>1524102.2400000005</v>
      </c>
      <c r="AG407" s="83"/>
      <c r="AH407" s="84">
        <f>AF407-Z407</f>
        <v>173706.29543178878</v>
      </c>
      <c r="AI407" s="85">
        <f>AH407/Z407</f>
        <v>0.12863360270778307</v>
      </c>
      <c r="AJ407" s="83">
        <f>+AL407/AL406</f>
        <v>9.8949135330258828E-2</v>
      </c>
      <c r="AK407" s="84"/>
      <c r="AL407" s="84">
        <f>Q27+Q108+Q194+Q250+Q314+Q362</f>
        <v>1260748.6199999987</v>
      </c>
      <c r="AM407" s="86"/>
      <c r="AN407" s="84">
        <f>AF407-AL407</f>
        <v>263353.62000000174</v>
      </c>
      <c r="AO407" s="401">
        <f>IF(AL407=0,0,AN407/AL407)</f>
        <v>0.20888670098247025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935.51693889083379</v>
      </c>
      <c r="Z409" s="87">
        <f t="shared" ref="Z409:Z418" si="74">+SUMIF($C:$C,$V409,F:F)</f>
        <v>136585.47307806174</v>
      </c>
      <c r="AA409" s="403"/>
      <c r="AB409" s="409"/>
      <c r="AC409" s="87"/>
      <c r="AD409" s="410"/>
      <c r="AE409" s="409">
        <f t="shared" ref="AE409:AE414" si="75">IF(AF409=0,0,AF409/(J$13+J$97))</f>
        <v>949.56480916030534</v>
      </c>
      <c r="AF409" s="87">
        <f t="shared" ref="AF409:AF418" si="76">+SUMIF($C:$C,$V409,L:L)</f>
        <v>124392.99</v>
      </c>
      <c r="AG409" s="404">
        <f t="shared" ref="AG409:AG418" si="77">AE409-Y409</f>
        <v>14.047870269471559</v>
      </c>
      <c r="AH409" s="405">
        <f t="shared" ref="AH409:AH418" si="78">AF409-Z409</f>
        <v>-12192.483078061734</v>
      </c>
      <c r="AI409" s="406">
        <f t="shared" ref="AI409:AI418" si="79">IF(Z409=0,0,AH409/Z409)</f>
        <v>-8.9266323887119747E-2</v>
      </c>
      <c r="AJ409" s="410"/>
      <c r="AK409" s="405">
        <f t="shared" ref="AK409:AK418" si="80">AL409/(O$13+O$97)</f>
        <v>1130.9110000000001</v>
      </c>
      <c r="AL409" s="87">
        <f t="shared" ref="AL409:AL418" si="81">+SUMIF($C:$C,$V409,Q:Q)</f>
        <v>135709.32</v>
      </c>
      <c r="AM409" s="407">
        <f t="shared" ref="AM409:AM414" si="82">AE409-Y409</f>
        <v>14.047870269471559</v>
      </c>
      <c r="AN409" s="405">
        <f t="shared" ref="AN409:AN431" si="83">AF409-AL409</f>
        <v>-11316.330000000002</v>
      </c>
      <c r="AO409" s="217">
        <f t="shared" ref="AO409:AO419" si="84">IF(AL409=0,0,AN409/AL409)</f>
        <v>-8.3386535279964563E-2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461.61386986301369</v>
      </c>
      <c r="Z410" s="394">
        <f t="shared" si="74"/>
        <v>67395.625</v>
      </c>
      <c r="AA410" s="393"/>
      <c r="AB410" s="412"/>
      <c r="AC410" s="394"/>
      <c r="AD410" s="413"/>
      <c r="AE410" s="412">
        <f t="shared" si="75"/>
        <v>504.14343511450375</v>
      </c>
      <c r="AF410" s="394">
        <f t="shared" si="76"/>
        <v>66042.789999999994</v>
      </c>
      <c r="AG410" s="395">
        <f t="shared" si="77"/>
        <v>42.529565251490055</v>
      </c>
      <c r="AH410" s="396">
        <f t="shared" si="78"/>
        <v>-1352.8350000000064</v>
      </c>
      <c r="AI410" s="414">
        <f t="shared" si="79"/>
        <v>-2.0073038865653467E-2</v>
      </c>
      <c r="AJ410" s="413"/>
      <c r="AK410" s="396">
        <f t="shared" si="80"/>
        <v>686.36933333333343</v>
      </c>
      <c r="AL410" s="394">
        <f t="shared" si="81"/>
        <v>82364.320000000007</v>
      </c>
      <c r="AM410" s="398">
        <f t="shared" si="82"/>
        <v>42.529565251490055</v>
      </c>
      <c r="AN410" s="396">
        <f t="shared" si="83"/>
        <v>-16321.530000000013</v>
      </c>
      <c r="AO410" s="218">
        <f t="shared" si="84"/>
        <v>-0.19816262672963258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120.06849315068493</v>
      </c>
      <c r="Z411" s="87">
        <f t="shared" si="74"/>
        <v>17530</v>
      </c>
      <c r="AA411" s="403"/>
      <c r="AB411" s="409"/>
      <c r="AC411" s="87"/>
      <c r="AD411" s="410"/>
      <c r="AE411" s="409">
        <f t="shared" si="75"/>
        <v>87.830458015267183</v>
      </c>
      <c r="AF411" s="87">
        <f t="shared" si="76"/>
        <v>11505.79</v>
      </c>
      <c r="AG411" s="404">
        <f t="shared" si="77"/>
        <v>-32.238035135417746</v>
      </c>
      <c r="AH411" s="405">
        <f t="shared" si="78"/>
        <v>-6024.2099999999991</v>
      </c>
      <c r="AI411" s="406">
        <f t="shared" si="79"/>
        <v>-0.34365145464917279</v>
      </c>
      <c r="AJ411" s="410"/>
      <c r="AK411" s="405">
        <f t="shared" si="80"/>
        <v>109.06316666666667</v>
      </c>
      <c r="AL411" s="87">
        <f t="shared" si="81"/>
        <v>13087.580000000002</v>
      </c>
      <c r="AM411" s="407">
        <f t="shared" si="82"/>
        <v>-32.238035135417746</v>
      </c>
      <c r="AN411" s="405">
        <f t="shared" si="83"/>
        <v>-1581.7900000000009</v>
      </c>
      <c r="AO411" s="217">
        <f t="shared" si="84"/>
        <v>-0.12086191641235436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67.897260273972606</v>
      </c>
      <c r="Z412" s="87">
        <f t="shared" si="74"/>
        <v>9913</v>
      </c>
      <c r="AA412" s="403"/>
      <c r="AB412" s="409"/>
      <c r="AC412" s="87"/>
      <c r="AD412" s="410"/>
      <c r="AE412" s="409">
        <f t="shared" si="75"/>
        <v>41.972290076335874</v>
      </c>
      <c r="AF412" s="87">
        <f t="shared" si="76"/>
        <v>5498.37</v>
      </c>
      <c r="AG412" s="404">
        <f t="shared" si="77"/>
        <v>-25.924970197636732</v>
      </c>
      <c r="AH412" s="405">
        <f t="shared" si="78"/>
        <v>-4414.63</v>
      </c>
      <c r="AI412" s="406">
        <f t="shared" si="79"/>
        <v>-0.44533743569050743</v>
      </c>
      <c r="AJ412" s="410"/>
      <c r="AK412" s="405">
        <f t="shared" si="80"/>
        <v>63.405333333333338</v>
      </c>
      <c r="AL412" s="87">
        <f t="shared" si="81"/>
        <v>7608.64</v>
      </c>
      <c r="AM412" s="407">
        <f t="shared" si="82"/>
        <v>-25.924970197636732</v>
      </c>
      <c r="AN412" s="405">
        <f t="shared" si="83"/>
        <v>-2110.2700000000004</v>
      </c>
      <c r="AO412" s="219">
        <f t="shared" si="84"/>
        <v>-0.27735180005888049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87.636986301369859</v>
      </c>
      <c r="Z413" s="394">
        <f t="shared" si="74"/>
        <v>12795</v>
      </c>
      <c r="AA413" s="393"/>
      <c r="AB413" s="412"/>
      <c r="AC413" s="394"/>
      <c r="AD413" s="413"/>
      <c r="AE413" s="412">
        <f t="shared" si="75"/>
        <v>119.29961832061069</v>
      </c>
      <c r="AF413" s="394">
        <f t="shared" si="76"/>
        <v>15628.25</v>
      </c>
      <c r="AG413" s="395">
        <f t="shared" si="77"/>
        <v>31.662632019240831</v>
      </c>
      <c r="AH413" s="396">
        <f t="shared" si="78"/>
        <v>2833.25</v>
      </c>
      <c r="AI413" s="414">
        <f t="shared" si="79"/>
        <v>0.22143415396639313</v>
      </c>
      <c r="AJ413" s="413"/>
      <c r="AK413" s="396">
        <f t="shared" si="80"/>
        <v>97.182000000000002</v>
      </c>
      <c r="AL413" s="394">
        <f t="shared" si="81"/>
        <v>11661.84</v>
      </c>
      <c r="AM413" s="398">
        <f t="shared" si="82"/>
        <v>31.662632019240831</v>
      </c>
      <c r="AN413" s="396">
        <f t="shared" si="83"/>
        <v>3966.41</v>
      </c>
      <c r="AO413" s="218">
        <f t="shared" si="84"/>
        <v>0.34011871196998072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486.21575342465752</v>
      </c>
      <c r="Z414" s="87">
        <f t="shared" si="74"/>
        <v>70987.5</v>
      </c>
      <c r="AA414" s="406"/>
      <c r="AB414" s="409"/>
      <c r="AC414" s="87"/>
      <c r="AD414" s="410"/>
      <c r="AE414" s="409">
        <f t="shared" si="75"/>
        <v>563.88206106870234</v>
      </c>
      <c r="AF414" s="87">
        <f t="shared" si="76"/>
        <v>73868.55</v>
      </c>
      <c r="AG414" s="404">
        <f t="shared" si="77"/>
        <v>77.666307644044821</v>
      </c>
      <c r="AH414" s="405">
        <f t="shared" si="78"/>
        <v>2881.0500000000029</v>
      </c>
      <c r="AI414" s="406">
        <f t="shared" si="79"/>
        <v>4.0585314315900727E-2</v>
      </c>
      <c r="AJ414" s="410"/>
      <c r="AK414" s="405">
        <f t="shared" si="80"/>
        <v>580.41125</v>
      </c>
      <c r="AL414" s="87">
        <f t="shared" si="81"/>
        <v>69649.350000000006</v>
      </c>
      <c r="AM414" s="407">
        <f t="shared" si="82"/>
        <v>77.666307644044821</v>
      </c>
      <c r="AN414" s="405">
        <f t="shared" si="83"/>
        <v>4219.1999999999971</v>
      </c>
      <c r="AO414" s="217">
        <f t="shared" si="84"/>
        <v>6.0577736906374531E-2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906.94522737885393</v>
      </c>
      <c r="Z415" s="87">
        <f t="shared" si="74"/>
        <v>132414.00319731268</v>
      </c>
      <c r="AA415" s="403"/>
      <c r="AB415" s="409"/>
      <c r="AC415" s="87"/>
      <c r="AD415" s="410"/>
      <c r="AE415" s="409">
        <f>IF(AF415=0,0,AF415/(J$13+J$13))</f>
        <v>848.79961538461532</v>
      </c>
      <c r="AF415" s="87">
        <f t="shared" si="76"/>
        <v>110343.95</v>
      </c>
      <c r="AG415" s="404">
        <f t="shared" si="77"/>
        <v>-58.145611994238607</v>
      </c>
      <c r="AH415" s="405">
        <f t="shared" si="78"/>
        <v>-22070.053197312678</v>
      </c>
      <c r="AI415" s="406">
        <f t="shared" si="79"/>
        <v>-0.16667461646352966</v>
      </c>
      <c r="AJ415" s="410"/>
      <c r="AK415" s="405">
        <f t="shared" si="80"/>
        <v>1367.3615</v>
      </c>
      <c r="AL415" s="87">
        <f t="shared" si="81"/>
        <v>164083.38</v>
      </c>
      <c r="AM415" s="407">
        <f>AE415-Y415</f>
        <v>-58.145611994238607</v>
      </c>
      <c r="AN415" s="405">
        <f>AF415-AL415</f>
        <v>-53739.430000000008</v>
      </c>
      <c r="AO415" s="217">
        <f t="shared" si="84"/>
        <v>-0.32751293884852939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0.33147359711488239</v>
      </c>
      <c r="Y419" s="88"/>
      <c r="Z419" s="90">
        <f>SUM(Z409:Z418)</f>
        <v>447620.60127537441</v>
      </c>
      <c r="AA419" s="89"/>
      <c r="AB419" s="88"/>
      <c r="AC419" s="90"/>
      <c r="AD419" s="91">
        <f>AF419/AF407</f>
        <v>0.26722661991494734</v>
      </c>
      <c r="AE419" s="88"/>
      <c r="AF419" s="90">
        <f>SUM(AF409:AF418)</f>
        <v>407280.69</v>
      </c>
      <c r="AG419" s="92"/>
      <c r="AH419" s="93">
        <f t="shared" ref="AH419:AH451" si="85">AF419-Z419</f>
        <v>-40339.911275374412</v>
      </c>
      <c r="AI419" s="89">
        <f>AH419/Z419</f>
        <v>-9.0120765577894973E-2</v>
      </c>
      <c r="AJ419" s="91">
        <f>IF($AL$407=0,0,AL419/$AL$407)</f>
        <v>0.38402931585203759</v>
      </c>
      <c r="AK419" s="88"/>
      <c r="AL419" s="90">
        <f>SUM(AL409:AL418)</f>
        <v>484164.43000000005</v>
      </c>
      <c r="AM419" s="94"/>
      <c r="AN419" s="93">
        <f t="shared" si="83"/>
        <v>-76883.740000000049</v>
      </c>
      <c r="AO419" s="401">
        <f t="shared" si="84"/>
        <v>-0.15879675423491982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56214.175184202773</v>
      </c>
      <c r="AA420" s="403"/>
      <c r="AB420" s="403"/>
      <c r="AC420" s="87"/>
      <c r="AD420" s="410"/>
      <c r="AE420" s="409"/>
      <c r="AF420" s="87">
        <f>SUMIFS(BV_Data_An_Cour!$P:$P,BV_Data_An_Cour!$V:$V,$V420)</f>
        <v>58501.66</v>
      </c>
      <c r="AG420" s="404"/>
      <c r="AH420" s="405">
        <f t="shared" si="85"/>
        <v>2287.4848157972301</v>
      </c>
      <c r="AI420" s="406">
        <f t="shared" ref="AI420:AI432" si="86">IF(Z420=0,0,AH420/Z420)</f>
        <v>4.0692313074088396E-2</v>
      </c>
      <c r="AJ420" s="410"/>
      <c r="AK420" s="403"/>
      <c r="AL420" s="87" cm="1">
        <f t="array" ref="AL420">+SUMPRODUCT(('Réel 2024'!$A$8:$A$501=$A420)*('Réel 2024'!$C$3:$AO$3=Z$2),'Réel 2024'!$C$8:$AO$501)</f>
        <v>51960.39</v>
      </c>
      <c r="AM420" s="407"/>
      <c r="AN420" s="405">
        <f t="shared" si="83"/>
        <v>6541.2700000000041</v>
      </c>
      <c r="AO420" s="217">
        <f t="shared" ref="AO420:AO431" si="87">IF(AL420=0,0,AN420/AL420)</f>
        <v>0.12588954778822878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128069.87857353376</v>
      </c>
      <c r="AA421" s="403"/>
      <c r="AB421" s="403"/>
      <c r="AC421" s="87"/>
      <c r="AD421" s="410"/>
      <c r="AE421" s="409"/>
      <c r="AF421" s="87">
        <f t="shared" ref="AF421:AF432" si="89">+SUMIF($C:$C,$V421,L:L)</f>
        <v>133947.34</v>
      </c>
      <c r="AG421" s="404"/>
      <c r="AH421" s="405">
        <f t="shared" si="85"/>
        <v>5877.4614264662378</v>
      </c>
      <c r="AI421" s="406">
        <f t="shared" si="86"/>
        <v>4.5892613407075115E-2</v>
      </c>
      <c r="AJ421" s="410"/>
      <c r="AK421" s="403"/>
      <c r="AL421" s="87">
        <f t="shared" ref="AL421:AL432" si="90">+SUMIF($C:$C,$V421,Q:Q)</f>
        <v>115056.47</v>
      </c>
      <c r="AM421" s="407"/>
      <c r="AN421" s="405">
        <f t="shared" si="83"/>
        <v>18890.869999999995</v>
      </c>
      <c r="AO421" s="217">
        <f t="shared" si="87"/>
        <v>0.1641878114285967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83333.463601532567</v>
      </c>
      <c r="AA422" s="393"/>
      <c r="AB422" s="393"/>
      <c r="AC422" s="394"/>
      <c r="AD422" s="413"/>
      <c r="AE422" s="412"/>
      <c r="AF422" s="394">
        <f t="shared" si="89"/>
        <v>80681.34</v>
      </c>
      <c r="AG422" s="395"/>
      <c r="AH422" s="396">
        <f t="shared" si="85"/>
        <v>-2652.1236015325703</v>
      </c>
      <c r="AI422" s="414">
        <f t="shared" si="86"/>
        <v>-3.182543346828795E-2</v>
      </c>
      <c r="AJ422" s="413"/>
      <c r="AK422" s="393"/>
      <c r="AL422" s="394">
        <f t="shared" si="90"/>
        <v>73656.289999999994</v>
      </c>
      <c r="AM422" s="398"/>
      <c r="AN422" s="396">
        <f t="shared" si="83"/>
        <v>7025.0500000000029</v>
      </c>
      <c r="AO422" s="399">
        <f t="shared" si="87"/>
        <v>9.5376104335420694E-2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94346.319080459769</v>
      </c>
      <c r="AA423" s="403"/>
      <c r="AB423" s="403"/>
      <c r="AC423" s="87"/>
      <c r="AD423" s="410"/>
      <c r="AE423" s="409"/>
      <c r="AF423" s="87">
        <f t="shared" si="89"/>
        <v>100012.94</v>
      </c>
      <c r="AG423" s="404"/>
      <c r="AH423" s="405">
        <f t="shared" si="85"/>
        <v>5666.6209195402334</v>
      </c>
      <c r="AI423" s="406">
        <f t="shared" si="86"/>
        <v>6.0061918416845342E-2</v>
      </c>
      <c r="AJ423" s="410"/>
      <c r="AK423" s="403"/>
      <c r="AL423" s="87">
        <f t="shared" si="90"/>
        <v>84194.419999999984</v>
      </c>
      <c r="AM423" s="407"/>
      <c r="AN423" s="405">
        <f t="shared" si="83"/>
        <v>15818.520000000019</v>
      </c>
      <c r="AO423" s="217">
        <f t="shared" si="87"/>
        <v>0.1878808595629024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57104.128444444446</v>
      </c>
      <c r="AA424" s="403"/>
      <c r="AB424" s="403"/>
      <c r="AC424" s="87"/>
      <c r="AD424" s="410"/>
      <c r="AE424" s="409"/>
      <c r="AF424" s="87">
        <f t="shared" si="89"/>
        <v>53830.86</v>
      </c>
      <c r="AG424" s="404"/>
      <c r="AH424" s="405">
        <f t="shared" si="85"/>
        <v>-3273.2684444444458</v>
      </c>
      <c r="AI424" s="406">
        <f t="shared" si="86"/>
        <v>-5.7321047244928154E-2</v>
      </c>
      <c r="AJ424" s="410"/>
      <c r="AK424" s="403"/>
      <c r="AL424" s="87">
        <f t="shared" si="90"/>
        <v>32598.25</v>
      </c>
      <c r="AM424" s="407"/>
      <c r="AN424" s="405">
        <f t="shared" si="83"/>
        <v>21232.61</v>
      </c>
      <c r="AO424" s="217">
        <f t="shared" si="87"/>
        <v>0.65134201989370599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87535.174147042155</v>
      </c>
      <c r="AA428" s="393"/>
      <c r="AB428" s="393"/>
      <c r="AC428" s="394"/>
      <c r="AD428" s="413"/>
      <c r="AE428" s="412"/>
      <c r="AF428" s="394">
        <f t="shared" si="89"/>
        <v>94282.37000000001</v>
      </c>
      <c r="AG428" s="395"/>
      <c r="AH428" s="396">
        <f t="shared" si="85"/>
        <v>6747.1958529578551</v>
      </c>
      <c r="AI428" s="414">
        <f t="shared" si="86"/>
        <v>7.7079824410057965E-2</v>
      </c>
      <c r="AJ428" s="413"/>
      <c r="AK428" s="393"/>
      <c r="AL428" s="394">
        <f t="shared" si="90"/>
        <v>86489.809999999983</v>
      </c>
      <c r="AM428" s="398"/>
      <c r="AN428" s="396">
        <f t="shared" si="83"/>
        <v>7792.5600000000268</v>
      </c>
      <c r="AO428" s="218">
        <f t="shared" si="87"/>
        <v>9.0098012702305955E-2</v>
      </c>
      <c r="AP428" s="722"/>
      <c r="AQ428" s="1131">
        <f>AF428/($AF$420+$AF$421+$AF$422+$AF$423+$AF$424+$AF$409+$AF$410+$K$185-$L$185)</f>
        <v>0.12199984552423154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119331.14165813185</v>
      </c>
      <c r="AA429" s="403"/>
      <c r="AB429" s="403"/>
      <c r="AC429" s="87"/>
      <c r="AD429" s="410"/>
      <c r="AE429" s="409"/>
      <c r="AF429" s="87">
        <f t="shared" si="89"/>
        <v>123873.43</v>
      </c>
      <c r="AG429" s="404"/>
      <c r="AH429" s="405">
        <f t="shared" si="85"/>
        <v>4542.2883418681449</v>
      </c>
      <c r="AI429" s="406">
        <f t="shared" si="86"/>
        <v>3.8064567880203549E-2</v>
      </c>
      <c r="AJ429" s="410"/>
      <c r="AK429" s="403"/>
      <c r="AL429" s="87">
        <f t="shared" si="90"/>
        <v>106501.15</v>
      </c>
      <c r="AM429" s="407"/>
      <c r="AN429" s="405">
        <f t="shared" si="83"/>
        <v>17372.28</v>
      </c>
      <c r="AO429" s="217">
        <f t="shared" si="87"/>
        <v>0.16311823862934813</v>
      </c>
      <c r="AP429" s="722"/>
      <c r="AQ429" s="721">
        <f>AF429/($AF$420+$AF$421+$AF$422+$AF$423+$AF$424+$AF$409+$AF$410+$K$185-$L$185)</f>
        <v>0.16029019343231091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55417.970396756456</v>
      </c>
      <c r="AA430" s="403"/>
      <c r="AB430" s="403"/>
      <c r="AC430" s="87"/>
      <c r="AD430" s="410"/>
      <c r="AE430" s="409"/>
      <c r="AF430" s="87">
        <f t="shared" si="89"/>
        <v>54538.85</v>
      </c>
      <c r="AG430" s="404"/>
      <c r="AH430" s="405">
        <f t="shared" si="85"/>
        <v>-879.12039675645792</v>
      </c>
      <c r="AI430" s="406">
        <f t="shared" si="86"/>
        <v>-1.5863453505469981E-2</v>
      </c>
      <c r="AJ430" s="410"/>
      <c r="AK430" s="403"/>
      <c r="AL430" s="87">
        <f t="shared" si="90"/>
        <v>49955.64</v>
      </c>
      <c r="AM430" s="407"/>
      <c r="AN430" s="405">
        <f t="shared" si="83"/>
        <v>4583.2099999999991</v>
      </c>
      <c r="AO430" s="217">
        <f t="shared" si="87"/>
        <v>9.1745596693386361E-2</v>
      </c>
      <c r="AP430" s="722"/>
      <c r="AQ430" s="721">
        <f>AF430/($AF$420+$AF$421+$AF$422+$AF$423+$AF$424+$AF$409+$AF$410+$K$185-$L$185)</f>
        <v>7.0572380340770333E-2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11875.279370733524</v>
      </c>
      <c r="AA431" s="403"/>
      <c r="AB431" s="403"/>
      <c r="AC431" s="87"/>
      <c r="AD431" s="410"/>
      <c r="AE431" s="409"/>
      <c r="AF431" s="87">
        <f t="shared" si="89"/>
        <v>18266.32</v>
      </c>
      <c r="AG431" s="404"/>
      <c r="AH431" s="405">
        <f t="shared" si="85"/>
        <v>6391.0406292664757</v>
      </c>
      <c r="AI431" s="97">
        <f t="shared" si="86"/>
        <v>0.53818023389134861</v>
      </c>
      <c r="AJ431" s="410"/>
      <c r="AK431" s="403"/>
      <c r="AL431" s="87">
        <f t="shared" si="90"/>
        <v>13118.4</v>
      </c>
      <c r="AM431" s="407"/>
      <c r="AN431" s="405">
        <f t="shared" si="83"/>
        <v>5147.92</v>
      </c>
      <c r="AO431" s="218">
        <f t="shared" si="87"/>
        <v>0.3924198072935724</v>
      </c>
      <c r="AP431" s="722"/>
      <c r="AQ431" s="721">
        <f>AF431/($AF$420+$AF$421+$AF$422+$AF$423+$AF$424+$AF$409+$AF$410+$K$185-$L$185)</f>
        <v>2.3636319476230613E-2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0.51335131243932786</v>
      </c>
      <c r="Y433" s="88"/>
      <c r="Z433" s="90">
        <f>SUM(Z420:Z432)</f>
        <v>693227.53045683727</v>
      </c>
      <c r="AA433" s="89"/>
      <c r="AB433" s="88"/>
      <c r="AC433" s="90"/>
      <c r="AD433" s="91">
        <f>AF433/AF407</f>
        <v>0.47105442873701153</v>
      </c>
      <c r="AE433" s="98"/>
      <c r="AF433" s="90">
        <f>SUM(AF420:AF432)</f>
        <v>717935.10999999987</v>
      </c>
      <c r="AG433" s="99"/>
      <c r="AH433" s="93">
        <f t="shared" si="85"/>
        <v>24707.579543162603</v>
      </c>
      <c r="AI433" s="89">
        <f>AH433/Z433</f>
        <v>3.5641370917396047E-2</v>
      </c>
      <c r="AJ433" s="91">
        <f>IF($AL$407=0,0,AL433/$AL$407)</f>
        <v>0.48664008848964718</v>
      </c>
      <c r="AK433" s="88"/>
      <c r="AL433" s="90">
        <f>SUM(AL420:AL432)</f>
        <v>613530.81999999995</v>
      </c>
      <c r="AM433" s="100"/>
      <c r="AN433" s="93">
        <f t="shared" ref="AN433:AN447" si="91">AF433-AL433</f>
        <v>104404.28999999992</v>
      </c>
      <c r="AO433" s="401">
        <f>IF(AL433=0,0,AN433/AL433)</f>
        <v>0.17016959311025309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37524.594226927569</v>
      </c>
      <c r="AA434" s="417"/>
      <c r="AB434" s="417"/>
      <c r="AC434" s="243"/>
      <c r="AD434" s="418"/>
      <c r="AE434" s="419"/>
      <c r="AF434" s="243">
        <f t="shared" ref="AF434:AF451" si="93">+SUMIF($C:$C,$V434,L:L)</f>
        <v>41454.89</v>
      </c>
      <c r="AG434" s="418"/>
      <c r="AH434" s="420">
        <f t="shared" si="85"/>
        <v>3930.2957730724302</v>
      </c>
      <c r="AI434" s="421">
        <f t="shared" ref="AI434:AI451" si="94">IF(Z434=0,0,AH434/Z434)</f>
        <v>0.10473919449479505</v>
      </c>
      <c r="AJ434" s="418"/>
      <c r="AK434" s="417"/>
      <c r="AL434" s="243">
        <f t="shared" ref="AL434:AL447" si="95">+SUMIF($C:$C,$V434,Q:Q)</f>
        <v>35629.96</v>
      </c>
      <c r="AM434" s="422"/>
      <c r="AN434" s="420">
        <f t="shared" si="91"/>
        <v>5824.93</v>
      </c>
      <c r="AO434" s="216">
        <f t="shared" ref="AO434:AO447" si="96">IF(AL434=0,0,AN434/AL434)</f>
        <v>0.16348404544939149</v>
      </c>
      <c r="AP434" s="79"/>
      <c r="AQ434" s="79"/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13333.333333333334</v>
      </c>
      <c r="AA435" s="403"/>
      <c r="AB435" s="403"/>
      <c r="AC435" s="87"/>
      <c r="AD435" s="410"/>
      <c r="AE435" s="409"/>
      <c r="AF435" s="87">
        <f t="shared" si="93"/>
        <v>10682.210000000001</v>
      </c>
      <c r="AG435" s="404"/>
      <c r="AH435" s="405">
        <f t="shared" si="85"/>
        <v>-2651.123333333333</v>
      </c>
      <c r="AI435" s="406">
        <f t="shared" si="94"/>
        <v>-0.19883424999999996</v>
      </c>
      <c r="AJ435" s="410"/>
      <c r="AK435" s="403"/>
      <c r="AL435" s="87">
        <f t="shared" si="95"/>
        <v>13798.099999999989</v>
      </c>
      <c r="AM435" s="407"/>
      <c r="AN435" s="405">
        <f t="shared" si="91"/>
        <v>-3115.8899999999885</v>
      </c>
      <c r="AO435" s="217">
        <f t="shared" si="96"/>
        <v>-0.22582022162471579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70445.333333333328</v>
      </c>
      <c r="AA436" s="393"/>
      <c r="AB436" s="393"/>
      <c r="AC436" s="394"/>
      <c r="AD436" s="413"/>
      <c r="AE436" s="412"/>
      <c r="AF436" s="394">
        <f t="shared" si="93"/>
        <v>74675.010000000009</v>
      </c>
      <c r="AG436" s="395"/>
      <c r="AH436" s="396">
        <f t="shared" si="85"/>
        <v>4229.6766666666808</v>
      </c>
      <c r="AI436" s="414">
        <f t="shared" si="94"/>
        <v>6.0041971079229491E-2</v>
      </c>
      <c r="AJ436" s="413"/>
      <c r="AK436" s="393"/>
      <c r="AL436" s="394">
        <f t="shared" si="95"/>
        <v>51120.499999999978</v>
      </c>
      <c r="AM436" s="398"/>
      <c r="AN436" s="396">
        <f t="shared" si="91"/>
        <v>23554.510000000031</v>
      </c>
      <c r="AO436" s="399">
        <f t="shared" si="96"/>
        <v>0.46076446826615625</v>
      </c>
      <c r="AP436" s="79"/>
      <c r="AQ436" s="79"/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56656</v>
      </c>
      <c r="AA437" s="403"/>
      <c r="AB437" s="403"/>
      <c r="AC437" s="87"/>
      <c r="AD437" s="410"/>
      <c r="AE437" s="409"/>
      <c r="AF437" s="87">
        <f t="shared" si="93"/>
        <v>59552.210000000006</v>
      </c>
      <c r="AG437" s="404"/>
      <c r="AH437" s="405">
        <f t="shared" si="85"/>
        <v>2896.2100000000064</v>
      </c>
      <c r="AI437" s="406">
        <f t="shared" si="94"/>
        <v>5.1119210674950691E-2</v>
      </c>
      <c r="AJ437" s="410"/>
      <c r="AK437" s="403"/>
      <c r="AL437" s="87">
        <f t="shared" si="95"/>
        <v>53028.670000000006</v>
      </c>
      <c r="AM437" s="407"/>
      <c r="AN437" s="405">
        <f t="shared" si="91"/>
        <v>6523.5400000000009</v>
      </c>
      <c r="AO437" s="217">
        <f t="shared" si="96"/>
        <v>0.12301911400003056</v>
      </c>
      <c r="AP437" s="1045"/>
      <c r="AQ437" s="79"/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7333.3333333333339</v>
      </c>
      <c r="AA438" s="403"/>
      <c r="AB438" s="403"/>
      <c r="AC438" s="87"/>
      <c r="AD438" s="410"/>
      <c r="AE438" s="409"/>
      <c r="AF438" s="87">
        <f t="shared" si="93"/>
        <v>13681.539999999999</v>
      </c>
      <c r="AG438" s="404"/>
      <c r="AH438" s="405">
        <f t="shared" si="85"/>
        <v>6348.2066666666651</v>
      </c>
      <c r="AI438" s="406">
        <f t="shared" si="94"/>
        <v>0.86566454545454519</v>
      </c>
      <c r="AJ438" s="410"/>
      <c r="AK438" s="403"/>
      <c r="AL438" s="87">
        <f t="shared" si="95"/>
        <v>12173.099999999999</v>
      </c>
      <c r="AM438" s="407"/>
      <c r="AN438" s="405">
        <f t="shared" si="91"/>
        <v>1508.4400000000005</v>
      </c>
      <c r="AO438" s="217">
        <f t="shared" si="96"/>
        <v>0.12391584723694052</v>
      </c>
      <c r="AP438" s="1045"/>
      <c r="AQ438" s="79"/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46864</v>
      </c>
      <c r="AA439" s="403"/>
      <c r="AB439" s="403"/>
      <c r="AC439" s="87"/>
      <c r="AD439" s="410"/>
      <c r="AE439" s="409"/>
      <c r="AF439" s="87">
        <f t="shared" si="93"/>
        <v>39239.17</v>
      </c>
      <c r="AG439" s="404"/>
      <c r="AH439" s="405">
        <f t="shared" si="85"/>
        <v>-7624.8300000000017</v>
      </c>
      <c r="AI439" s="406">
        <f t="shared" si="94"/>
        <v>-0.16270122055308983</v>
      </c>
      <c r="AJ439" s="410"/>
      <c r="AK439" s="403"/>
      <c r="AL439" s="87">
        <f t="shared" si="95"/>
        <v>42778.509999999995</v>
      </c>
      <c r="AM439" s="407"/>
      <c r="AN439" s="405">
        <f t="shared" si="91"/>
        <v>-3539.3399999999965</v>
      </c>
      <c r="AO439" s="217">
        <f t="shared" si="96"/>
        <v>-8.2736401992495698E-2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4670</v>
      </c>
      <c r="AA441" s="403"/>
      <c r="AB441" s="409"/>
      <c r="AC441" s="87"/>
      <c r="AD441" s="410"/>
      <c r="AE441" s="409"/>
      <c r="AF441" s="87">
        <f t="shared" si="93"/>
        <v>11567.669999999998</v>
      </c>
      <c r="AG441" s="404"/>
      <c r="AH441" s="405">
        <f t="shared" si="85"/>
        <v>6897.6699999999983</v>
      </c>
      <c r="AI441" s="406">
        <f t="shared" si="94"/>
        <v>1.4770171306209847</v>
      </c>
      <c r="AJ441" s="410"/>
      <c r="AK441" s="403"/>
      <c r="AL441" s="87">
        <f t="shared" si="95"/>
        <v>4280.5099999999993</v>
      </c>
      <c r="AM441" s="407"/>
      <c r="AN441" s="405">
        <f t="shared" si="91"/>
        <v>7287.1599999999989</v>
      </c>
      <c r="AO441" s="217">
        <f t="shared" si="96"/>
        <v>1.7024046200102325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4240</v>
      </c>
      <c r="AA442" s="403"/>
      <c r="AB442" s="403"/>
      <c r="AC442" s="87"/>
      <c r="AD442" s="410"/>
      <c r="AE442" s="409"/>
      <c r="AF442" s="87">
        <f t="shared" si="93"/>
        <v>7106.9900000000007</v>
      </c>
      <c r="AG442" s="404"/>
      <c r="AH442" s="405">
        <f t="shared" si="85"/>
        <v>2866.9900000000007</v>
      </c>
      <c r="AI442" s="97">
        <f t="shared" si="94"/>
        <v>0.67617688679245302</v>
      </c>
      <c r="AJ442" s="410"/>
      <c r="AK442" s="403"/>
      <c r="AL442" s="87">
        <f t="shared" si="95"/>
        <v>3825.5699999999997</v>
      </c>
      <c r="AM442" s="407"/>
      <c r="AN442" s="405">
        <f t="shared" si="91"/>
        <v>3281.420000000001</v>
      </c>
      <c r="AO442" s="217">
        <f t="shared" si="96"/>
        <v>0.85775975867648513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6300</v>
      </c>
      <c r="AA443" s="403"/>
      <c r="AB443" s="403"/>
      <c r="AC443" s="87"/>
      <c r="AD443" s="410"/>
      <c r="AE443" s="409"/>
      <c r="AF443" s="87">
        <f t="shared" si="93"/>
        <v>5247.25</v>
      </c>
      <c r="AG443" s="404"/>
      <c r="AH443" s="405">
        <f t="shared" si="85"/>
        <v>-1052.75</v>
      </c>
      <c r="AI443" s="406">
        <f t="shared" si="94"/>
        <v>-0.16710317460317461</v>
      </c>
      <c r="AJ443" s="410"/>
      <c r="AK443" s="403"/>
      <c r="AL443" s="87">
        <f t="shared" si="95"/>
        <v>5252.98</v>
      </c>
      <c r="AM443" s="407"/>
      <c r="AN443" s="405">
        <f t="shared" si="91"/>
        <v>-5.7299999999995634</v>
      </c>
      <c r="AO443" s="217">
        <f t="shared" si="96"/>
        <v>-1.0908094072316216E-3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2048</v>
      </c>
      <c r="AA444" s="403"/>
      <c r="AB444" s="403"/>
      <c r="AC444" s="87"/>
      <c r="AD444" s="410"/>
      <c r="AE444" s="409"/>
      <c r="AF444" s="87">
        <f t="shared" si="93"/>
        <v>3768.85</v>
      </c>
      <c r="AG444" s="404"/>
      <c r="AH444" s="405">
        <f t="shared" si="85"/>
        <v>1720.85</v>
      </c>
      <c r="AI444" s="97">
        <f t="shared" si="94"/>
        <v>0.84025878906249996</v>
      </c>
      <c r="AJ444" s="410"/>
      <c r="AK444" s="403"/>
      <c r="AL444" s="87">
        <f t="shared" si="95"/>
        <v>2152.23</v>
      </c>
      <c r="AM444" s="407"/>
      <c r="AN444" s="405">
        <f t="shared" si="91"/>
        <v>1616.62</v>
      </c>
      <c r="AO444" s="217">
        <f t="shared" si="96"/>
        <v>0.75113719258629419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3800</v>
      </c>
      <c r="AA445" s="403"/>
      <c r="AB445" s="403"/>
      <c r="AC445" s="87"/>
      <c r="AD445" s="410"/>
      <c r="AE445" s="409"/>
      <c r="AF445" s="87">
        <f t="shared" si="93"/>
        <v>5476.4500000000007</v>
      </c>
      <c r="AG445" s="404"/>
      <c r="AH445" s="405">
        <f t="shared" si="85"/>
        <v>1676.4500000000007</v>
      </c>
      <c r="AI445" s="406">
        <f t="shared" si="94"/>
        <v>0.44117105263157913</v>
      </c>
      <c r="AJ445" s="410"/>
      <c r="AK445" s="403"/>
      <c r="AL445" s="87">
        <f t="shared" si="95"/>
        <v>5642.1</v>
      </c>
      <c r="AM445" s="407"/>
      <c r="AN445" s="405">
        <f t="shared" si="91"/>
        <v>-165.64999999999964</v>
      </c>
      <c r="AO445" s="217">
        <f t="shared" si="96"/>
        <v>-2.935963559667493E-2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6964.0000000000009</v>
      </c>
      <c r="AA446" s="403"/>
      <c r="AB446" s="409"/>
      <c r="AC446" s="87"/>
      <c r="AD446" s="410"/>
      <c r="AE446" s="409"/>
      <c r="AF446" s="87">
        <f t="shared" si="93"/>
        <v>6093.4500000000007</v>
      </c>
      <c r="AG446" s="404"/>
      <c r="AH446" s="405">
        <f t="shared" si="85"/>
        <v>-870.55000000000018</v>
      </c>
      <c r="AI446" s="97">
        <f t="shared" si="94"/>
        <v>-0.12500717978173465</v>
      </c>
      <c r="AJ446" s="410"/>
      <c r="AK446" s="403"/>
      <c r="AL446" s="87">
        <f t="shared" si="95"/>
        <v>7053.81</v>
      </c>
      <c r="AM446" s="407"/>
      <c r="AN446" s="405">
        <f t="shared" si="91"/>
        <v>-960.35999999999967</v>
      </c>
      <c r="AO446" s="217">
        <f t="shared" si="96"/>
        <v>-0.1361476989031459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10329.417866666665</v>
      </c>
      <c r="AA447" s="403"/>
      <c r="AB447" s="409"/>
      <c r="AC447" s="87"/>
      <c r="AD447" s="410"/>
      <c r="AE447" s="409"/>
      <c r="AF447" s="87">
        <f t="shared" si="93"/>
        <v>11721.92</v>
      </c>
      <c r="AG447" s="404"/>
      <c r="AH447" s="405">
        <f t="shared" si="85"/>
        <v>1392.5021333333352</v>
      </c>
      <c r="AI447" s="406">
        <f t="shared" si="94"/>
        <v>0.13480935240571307</v>
      </c>
      <c r="AJ447" s="410"/>
      <c r="AK447" s="403"/>
      <c r="AL447" s="87">
        <f t="shared" si="95"/>
        <v>3972.3900000000003</v>
      </c>
      <c r="AM447" s="407"/>
      <c r="AN447" s="405">
        <f t="shared" si="91"/>
        <v>7749.53</v>
      </c>
      <c r="AO447" s="217">
        <f t="shared" si="96"/>
        <v>1.9508482299069323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24604.976622743561</v>
      </c>
      <c r="AA448" s="403"/>
      <c r="AB448" s="409"/>
      <c r="AC448" s="87"/>
      <c r="AD448" s="410"/>
      <c r="AE448" s="409"/>
      <c r="AF448" s="87">
        <f t="shared" si="93"/>
        <v>24418.129999999997</v>
      </c>
      <c r="AG448" s="404"/>
      <c r="AH448" s="405">
        <f t="shared" si="85"/>
        <v>-186.84662274356378</v>
      </c>
      <c r="AI448" s="406">
        <f t="shared" si="94"/>
        <v>-7.5938549183929109E-3</v>
      </c>
      <c r="AJ448" s="410"/>
      <c r="AK448" s="403"/>
      <c r="AL448" s="87" cm="1">
        <f t="array" ref="AL448">+SUMPRODUCT(('Réel 2024'!$A$8:$A$501=$A448)*('Réel 2024'!$C$3:$AO$3=Z$2),'Réel 2024'!$C$8:$AO$501)</f>
        <v>23026.799999999999</v>
      </c>
      <c r="AM448" s="407"/>
      <c r="AN448" s="405">
        <f>AF448-AL448</f>
        <v>1391.3299999999981</v>
      </c>
      <c r="AO448" s="217">
        <f>IF(AL448=0,0,AN448/AL448)</f>
        <v>6.0422203693087977E-2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0.21853811832254874</v>
      </c>
      <c r="Y452" s="88"/>
      <c r="Z452" s="90">
        <f>+SUM(Z434:Z451)</f>
        <v>295112.98871633783</v>
      </c>
      <c r="AA452" s="89"/>
      <c r="AB452" s="88"/>
      <c r="AC452" s="90"/>
      <c r="AD452" s="91">
        <f>AF452/AF407</f>
        <v>0.20647285447202013</v>
      </c>
      <c r="AE452" s="88"/>
      <c r="AF452" s="90">
        <f>+SUM(AF434:AF451)</f>
        <v>314685.74</v>
      </c>
      <c r="AG452" s="99"/>
      <c r="AH452" s="93">
        <f>+SUM(AH434:AH451)</f>
        <v>19572.751283662219</v>
      </c>
      <c r="AI452" s="89">
        <f>AH452/Z452</f>
        <v>6.632290692727022E-2</v>
      </c>
      <c r="AJ452" s="91">
        <f>IF($AL$407=0,0,AL452/$AL$407)</f>
        <v>0.20918938622356001</v>
      </c>
      <c r="AK452" s="89"/>
      <c r="AL452" s="90">
        <f>+SUM(AL434:AL451)</f>
        <v>263735.23000000004</v>
      </c>
      <c r="AM452" s="100"/>
      <c r="AN452" s="93">
        <f>+SUM(AN434:AN451)</f>
        <v>50950.510000000038</v>
      </c>
      <c r="AO452" s="558">
        <f>IF(AL452=0,0,AN452/AL452)</f>
        <v>0.19318810763355365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200000</v>
      </c>
      <c r="AA453" s="403"/>
      <c r="AB453" s="409"/>
      <c r="AC453" s="87"/>
      <c r="AD453" s="410"/>
      <c r="AE453" s="409"/>
      <c r="AF453" s="87">
        <f>SUMIFS(BV_Data_An_Cour!$P:$P,BV_Data_An_Cour!$V:$V,$V453)</f>
        <v>200000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2024'!$A$8:$A$501=$A453)*('Réel 2024'!$C$3:$AO$3=Z$2),'Réel 2024'!$C$8:$AO$501)</f>
        <v>200000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23732.28</v>
      </c>
      <c r="AA454" s="403"/>
      <c r="AB454" s="409"/>
      <c r="AC454" s="87"/>
      <c r="AD454" s="410"/>
      <c r="AE454" s="409"/>
      <c r="AF454" s="87">
        <f>SUMIFS(BV_Data_An_Cour!$P:$P,BV_Data_An_Cour!$V:$V,$V454)</f>
        <v>24654</v>
      </c>
      <c r="AG454" s="404"/>
      <c r="AH454" s="405">
        <f t="shared" si="97"/>
        <v>921.72000000000116</v>
      </c>
      <c r="AI454" s="406">
        <f t="shared" si="98"/>
        <v>3.883824057359854E-2</v>
      </c>
      <c r="AJ454" s="410"/>
      <c r="AK454" s="403"/>
      <c r="AL454" s="87" cm="1">
        <f t="array" ref="AL454">+SUMPRODUCT(('Réel 2024'!$A$8:$A$501=$A454)*('Réel 2024'!$C$3:$AO$3=Z$2),'Réel 2024'!$C$8:$AO$501)</f>
        <v>23488.560000000001</v>
      </c>
      <c r="AM454" s="407"/>
      <c r="AN454" s="405">
        <f t="shared" si="99"/>
        <v>1165.4399999999987</v>
      </c>
      <c r="AO454" s="217">
        <f t="shared" si="100"/>
        <v>4.9617345635492284E-2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10171</v>
      </c>
      <c r="AA455" s="393"/>
      <c r="AB455" s="412"/>
      <c r="AC455" s="394"/>
      <c r="AD455" s="413"/>
      <c r="AE455" s="412"/>
      <c r="AF455" s="394">
        <f>SUMIFS(BV_Data_An_Cour!$P:$P,BV_Data_An_Cour!$V:$V,$V455)</f>
        <v>10566</v>
      </c>
      <c r="AG455" s="395"/>
      <c r="AH455" s="396">
        <f t="shared" si="97"/>
        <v>395</v>
      </c>
      <c r="AI455" s="414">
        <f t="shared" si="98"/>
        <v>3.8835906007275586E-2</v>
      </c>
      <c r="AJ455" s="413"/>
      <c r="AK455" s="393"/>
      <c r="AL455" s="394" cm="1">
        <f t="array" ref="AL455">+SUMPRODUCT(('Réel 2024'!$A$8:$A$501=$A455)*('Réel 2024'!$C$3:$AO$3=Z$2),'Réel 2024'!$C$8:$AO$501)</f>
        <v>10066.52</v>
      </c>
      <c r="AM455" s="398"/>
      <c r="AN455" s="396">
        <f t="shared" si="99"/>
        <v>499.47999999999956</v>
      </c>
      <c r="AO455" s="399">
        <f t="shared" si="100"/>
        <v>4.9617941453451594E-2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2024'!$A$8:$A$501=$A456)*('Réel 2024'!$C$3:$AO$3=Z$2),'Réel 2024'!$C$8:$AO$501)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19416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19415.32</v>
      </c>
      <c r="AG457" s="395"/>
      <c r="AH457" s="396">
        <f t="shared" si="97"/>
        <v>-0.68000000000029104</v>
      </c>
      <c r="AI457" s="414">
        <f t="shared" si="98"/>
        <v>-3.5022661722305881E-5</v>
      </c>
      <c r="AJ457" s="413"/>
      <c r="AK457" s="393"/>
      <c r="AL457" s="394" cm="1">
        <f t="array" ref="AL457">+SUMPRODUCT(('Réel 2024'!$A$8:$A$501=$A457)*('Réel 2024'!$C$3:$AO$3=Z$2),'Réel 2024'!$C$8:$AO$501)</f>
        <v>17399</v>
      </c>
      <c r="AM457" s="398"/>
      <c r="AN457" s="396">
        <f t="shared" si="99"/>
        <v>2016.3199999999997</v>
      </c>
      <c r="AO457" s="399">
        <f t="shared" si="100"/>
        <v>0.11588711994942236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20000</v>
      </c>
      <c r="AA458" s="249"/>
      <c r="AB458" s="242"/>
      <c r="AC458" s="87"/>
      <c r="AD458" s="410"/>
      <c r="AE458" s="409"/>
      <c r="AF458" s="87">
        <f>SUMIFS(BV_Data_An_Cour!$P:$P,BV_Data_An_Cour!$V:$V,$V458)</f>
        <v>24790.58</v>
      </c>
      <c r="AG458" s="404"/>
      <c r="AH458" s="405">
        <f t="shared" si="97"/>
        <v>4790.5800000000017</v>
      </c>
      <c r="AI458" s="406">
        <f t="shared" si="98"/>
        <v>0.23952900000000008</v>
      </c>
      <c r="AJ458" s="410"/>
      <c r="AK458" s="403"/>
      <c r="AL458" s="87" cm="1">
        <f t="array" ref="AL458">+SUMPRODUCT(('Réel 2024'!$A$8:$A$501=$A458)*('Réel 2024'!$C$3:$AO$3=Z$2),'Réel 2024'!$C$8:$AO$501)</f>
        <v>22446.089999999982</v>
      </c>
      <c r="AM458" s="407"/>
      <c r="AN458" s="405">
        <f t="shared" si="99"/>
        <v>2344.4900000000198</v>
      </c>
      <c r="AO458" s="217">
        <f t="shared" si="100"/>
        <v>0.10444981731785009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26165.333333333332</v>
      </c>
      <c r="AA459" s="403"/>
      <c r="AB459" s="409"/>
      <c r="AC459" s="87"/>
      <c r="AD459" s="410"/>
      <c r="AE459" s="409"/>
      <c r="AF459" s="87">
        <f>SUMIFS(BV_Data_An_Cour!$P:$P,BV_Data_An_Cour!$V:$V,$V459)</f>
        <v>25229.320000000003</v>
      </c>
      <c r="AG459" s="404"/>
      <c r="AH459" s="405">
        <f t="shared" si="97"/>
        <v>-936.01333333332877</v>
      </c>
      <c r="AI459" s="406">
        <f t="shared" si="98"/>
        <v>-3.5773033020790698E-2</v>
      </c>
      <c r="AJ459" s="410"/>
      <c r="AK459" s="403"/>
      <c r="AL459" s="87" cm="1">
        <f t="array" ref="AL459">+SUMPRODUCT(('Réel 2024'!$A$8:$A$501=$A459)*('Réel 2024'!$C$3:$AO$3=Z$2),'Réel 2024'!$C$8:$AO$501)</f>
        <v>25229.32</v>
      </c>
      <c r="AM459" s="407"/>
      <c r="AN459" s="405">
        <f t="shared" si="99"/>
        <v>0</v>
      </c>
      <c r="AO459" s="217">
        <f t="shared" si="100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1733.3333333333333</v>
      </c>
      <c r="AA460" s="393"/>
      <c r="AB460" s="412"/>
      <c r="AC460" s="394"/>
      <c r="AD460" s="413"/>
      <c r="AE460" s="412"/>
      <c r="AF460" s="394">
        <f>SUMIFS(BV_Data_An_Cour!$P:$P,BV_Data_An_Cour!$V:$V,$V460)</f>
        <v>3991.9</v>
      </c>
      <c r="AG460" s="395"/>
      <c r="AH460" s="396">
        <f t="shared" si="97"/>
        <v>2258.5666666666666</v>
      </c>
      <c r="AI460" s="414">
        <f t="shared" si="98"/>
        <v>1.3030192307692308</v>
      </c>
      <c r="AJ460" s="413"/>
      <c r="AK460" s="393"/>
      <c r="AL460" s="394" cm="1">
        <f t="array" ref="AL460">+SUMPRODUCT(('Réel 2024'!$A$8:$A$501=$A460)*('Réel 2024'!$C$3:$AO$3=Z$2),'Réel 2024'!$C$8:$AO$501)</f>
        <v>2217.06</v>
      </c>
      <c r="AM460" s="398"/>
      <c r="AN460" s="396">
        <f t="shared" si="99"/>
        <v>1774.8400000000001</v>
      </c>
      <c r="AO460" s="399">
        <f t="shared" si="100"/>
        <v>0.80053764895853075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848.00000000000011</v>
      </c>
      <c r="AA461" s="403"/>
      <c r="AB461" s="409"/>
      <c r="AC461" s="87"/>
      <c r="AD461" s="410"/>
      <c r="AE461" s="409"/>
      <c r="AF461" s="87">
        <f>SUMIFS(BV_Data_An_Cour!$P:$P,BV_Data_An_Cour!$V:$V,$V461)</f>
        <v>905.74</v>
      </c>
      <c r="AG461" s="404"/>
      <c r="AH461" s="405">
        <f t="shared" si="97"/>
        <v>57.739999999999895</v>
      </c>
      <c r="AI461" s="423">
        <f t="shared" si="98"/>
        <v>6.8089622641509306E-2</v>
      </c>
      <c r="AJ461" s="403"/>
      <c r="AK461" s="403"/>
      <c r="AL461" s="87" cm="1">
        <f t="array" ref="AL461">+SUMPRODUCT(('Réel 2024'!$A$8:$A$501=$A461)*('Réel 2024'!$C$3:$AO$3=Z$2),'Réel 2024'!$C$8:$AO$501)</f>
        <v>695.83999999999605</v>
      </c>
      <c r="AM461" s="407"/>
      <c r="AN461" s="405">
        <f t="shared" si="99"/>
        <v>209.90000000000396</v>
      </c>
      <c r="AO461" s="217">
        <f t="shared" si="100"/>
        <v>0.30164980455277812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2024'!$A$8:$A$501=$A462)*('Réel 2024'!$C$3:$AO$3=Z$2),'Réel 2024'!$C$8:$AO$501)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0.22368694743322268</v>
      </c>
      <c r="Y466" s="88"/>
      <c r="Z466" s="90">
        <f>SUM(Z453:Z465)</f>
        <v>302065.94666666666</v>
      </c>
      <c r="AA466" s="89"/>
      <c r="AB466" s="88"/>
      <c r="AC466" s="90"/>
      <c r="AD466" s="91">
        <f>AF466/AF407</f>
        <v>0.20310504891062947</v>
      </c>
      <c r="AE466" s="88"/>
      <c r="AF466" s="90">
        <f>SUM(AF453:AF465)</f>
        <v>309552.86000000004</v>
      </c>
      <c r="AG466" s="99"/>
      <c r="AH466" s="93">
        <f>SUM(AH453:AH465)</f>
        <v>7486.9133333333402</v>
      </c>
      <c r="AI466" s="89">
        <f>IF(Z466=0,0,AH466/Z466)</f>
        <v>2.4785691389421122E-2</v>
      </c>
      <c r="AJ466" s="91">
        <f>IF($AL$407=0,0,AL466/$AL$407)</f>
        <v>0.23917725168717635</v>
      </c>
      <c r="AK466" s="89"/>
      <c r="AL466" s="90">
        <f>SUM(AL453:AL465)</f>
        <v>301542.38999999996</v>
      </c>
      <c r="AM466" s="100"/>
      <c r="AN466" s="93">
        <f>SUM(AN453:AN465)</f>
        <v>8010.4700000000221</v>
      </c>
      <c r="AO466" s="558">
        <f t="shared" ref="AO466:AO483" si="101">IF(AL466=0,0,AN466/AL466)</f>
        <v>2.6564988093382237E-2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1.2870499753099816</v>
      </c>
      <c r="Y468" s="88"/>
      <c r="Z468" s="90">
        <f>Z419+Z433+Z452+Z466</f>
        <v>1738027.0671152161</v>
      </c>
      <c r="AA468" s="89"/>
      <c r="AB468" s="88"/>
      <c r="AC468" s="90"/>
      <c r="AD468" s="91">
        <f>AF468/AF407</f>
        <v>1.1478589520346085</v>
      </c>
      <c r="AE468" s="88"/>
      <c r="AF468" s="90">
        <f>AF419+AF433+AF452+AF466</f>
        <v>1749454.4</v>
      </c>
      <c r="AG468" s="99"/>
      <c r="AH468" s="93">
        <f t="shared" si="102"/>
        <v>11427.332884783857</v>
      </c>
      <c r="AI468" s="89">
        <f>AH468/Z468</f>
        <v>6.5748877569271622E-3</v>
      </c>
      <c r="AJ468" s="91">
        <f>IF($AL$407=0,0,AL468/$AL$407)</f>
        <v>1.319036042252421</v>
      </c>
      <c r="AK468" s="89"/>
      <c r="AL468" s="90">
        <f>AL419+AL433+AL452+AL466</f>
        <v>1662972.8699999999</v>
      </c>
      <c r="AM468" s="100"/>
      <c r="AN468" s="93">
        <f t="shared" si="103"/>
        <v>86481.530000000028</v>
      </c>
      <c r="AO468" s="401">
        <f t="shared" si="101"/>
        <v>5.2004173706093011E-2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0</v>
      </c>
      <c r="AA469" s="244"/>
      <c r="AB469" s="245"/>
      <c r="AC469" s="243"/>
      <c r="AD469" s="247"/>
      <c r="AE469" s="245"/>
      <c r="AF469" s="87">
        <f>-SUMIFS(BV_Data_An_Cour!$P:$P,BV_Data_An_Cour!$V:$V,$V469)</f>
        <v>4811.1499999999996</v>
      </c>
      <c r="AG469" s="246"/>
      <c r="AH469" s="405">
        <f t="shared" si="102"/>
        <v>4811.1499999999996</v>
      </c>
      <c r="AI469" s="423" t="e">
        <f>IF(AH469=0,0,AH469/Z469)</f>
        <v>#DIV/0!</v>
      </c>
      <c r="AJ469" s="247"/>
      <c r="AK469" s="244"/>
      <c r="AL469" s="426" cm="1">
        <f t="array" ref="AL469">+SUMPRODUCT(('Réel 2024'!$A$8:$A$501=$A469)*('Réel 2024'!$C$3:$AO$3=Z$2),'Réel 2024'!$C$8:$AO$501)</f>
        <v>159306.30999999997</v>
      </c>
      <c r="AM469" s="248"/>
      <c r="AN469" s="405">
        <f t="shared" si="103"/>
        <v>-154495.15999999997</v>
      </c>
      <c r="AO469" s="217">
        <f t="shared" si="101"/>
        <v>-0.96979937580626907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148883.39738181818</v>
      </c>
      <c r="AA470" s="249"/>
      <c r="AB470" s="242"/>
      <c r="AC470" s="87"/>
      <c r="AD470" s="251"/>
      <c r="AE470" s="242"/>
      <c r="AF470" s="87">
        <f t="shared" ref="AF470:AF476" si="105">+SUMIF($C:$C,$V470,L:L)</f>
        <v>135836.4</v>
      </c>
      <c r="AG470" s="250"/>
      <c r="AH470" s="405">
        <f t="shared" si="102"/>
        <v>-13046.99738181819</v>
      </c>
      <c r="AI470" s="97">
        <f>IF(Z470=0,0,AH470/Z470)</f>
        <v>-8.7632319058105423E-2</v>
      </c>
      <c r="AJ470" s="251"/>
      <c r="AK470" s="249"/>
      <c r="AL470" s="252">
        <f t="shared" ref="AL470:AL476" si="106">+SUMIF($C:$C,$V470,Q:Q)</f>
        <v>121402.4</v>
      </c>
      <c r="AM470" s="253"/>
      <c r="AN470" s="405">
        <f t="shared" si="103"/>
        <v>14434</v>
      </c>
      <c r="AO470" s="217">
        <f t="shared" si="101"/>
        <v>0.11889386041791596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137717.14257818181</v>
      </c>
      <c r="AA471" s="249"/>
      <c r="AB471" s="242"/>
      <c r="AC471" s="87"/>
      <c r="AD471" s="251"/>
      <c r="AE471" s="242"/>
      <c r="AF471" s="87">
        <f t="shared" si="105"/>
        <v>160463.64000000001</v>
      </c>
      <c r="AG471" s="250"/>
      <c r="AH471" s="405">
        <f t="shared" si="102"/>
        <v>22746.497421818203</v>
      </c>
      <c r="AI471" s="97">
        <f t="shared" ref="AI471:AI480" si="107">IF(AH471=0,0,AH471/Z471)</f>
        <v>0.16516823538438616</v>
      </c>
      <c r="AJ471" s="251"/>
      <c r="AK471" s="249"/>
      <c r="AL471" s="252">
        <f t="shared" si="106"/>
        <v>110662.43</v>
      </c>
      <c r="AM471" s="253"/>
      <c r="AN471" s="405">
        <f t="shared" si="103"/>
        <v>49801.210000000021</v>
      </c>
      <c r="AO471" s="217">
        <f t="shared" si="101"/>
        <v>0.45002816222271663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9000</v>
      </c>
      <c r="AA474" s="249"/>
      <c r="AB474" s="242"/>
      <c r="AC474" s="87"/>
      <c r="AD474" s="251"/>
      <c r="AE474" s="242"/>
      <c r="AF474" s="87">
        <f t="shared" si="105"/>
        <v>5500</v>
      </c>
      <c r="AG474" s="250"/>
      <c r="AH474" s="405">
        <f t="shared" si="102"/>
        <v>-3500</v>
      </c>
      <c r="AI474" s="97">
        <f t="shared" si="107"/>
        <v>-0.3888888888888889</v>
      </c>
      <c r="AJ474" s="251"/>
      <c r="AK474" s="249"/>
      <c r="AL474" s="252">
        <f t="shared" si="106"/>
        <v>7425</v>
      </c>
      <c r="AM474" s="253"/>
      <c r="AN474" s="405">
        <f t="shared" ref="AN474:AN483" si="108">AF474-AL474</f>
        <v>-1925</v>
      </c>
      <c r="AO474" s="217">
        <f t="shared" si="101"/>
        <v>-0.25925925925925924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3216</v>
      </c>
      <c r="AA475" s="249"/>
      <c r="AB475" s="242"/>
      <c r="AC475" s="87"/>
      <c r="AD475" s="251"/>
      <c r="AE475" s="242"/>
      <c r="AF475" s="87">
        <f t="shared" si="105"/>
        <v>775</v>
      </c>
      <c r="AG475" s="250"/>
      <c r="AH475" s="405">
        <f t="shared" si="102"/>
        <v>-2441</v>
      </c>
      <c r="AI475" s="97">
        <f t="shared" si="107"/>
        <v>-0.75901741293532343</v>
      </c>
      <c r="AJ475" s="251"/>
      <c r="AK475" s="249"/>
      <c r="AL475" s="252">
        <f t="shared" si="106"/>
        <v>26075</v>
      </c>
      <c r="AM475" s="253"/>
      <c r="AN475" s="405">
        <f t="shared" si="108"/>
        <v>-25300</v>
      </c>
      <c r="AO475" s="217">
        <f t="shared" si="101"/>
        <v>-0.97027804410354745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78163.783625454555</v>
      </c>
      <c r="AA477" s="249"/>
      <c r="AB477" s="242"/>
      <c r="AC477" s="87"/>
      <c r="AD477" s="251"/>
      <c r="AE477" s="242"/>
      <c r="AF477" s="87">
        <f>-SUMIFS(BV_Data_An_Cour!$P:$P,BV_Data_An_Cour!$V:$V,$V477)</f>
        <v>89939.98</v>
      </c>
      <c r="AG477" s="250"/>
      <c r="AH477" s="405">
        <f t="shared" si="102"/>
        <v>11776.196374545441</v>
      </c>
      <c r="AI477" s="97">
        <f t="shared" si="107"/>
        <v>0.15066052113053602</v>
      </c>
      <c r="AJ477" s="251"/>
      <c r="AK477" s="249"/>
      <c r="AL477" s="252" cm="1">
        <f t="array" ref="AL477">+SUMPRODUCT(('Réel 2024'!$A$8:$A$501=$A477)*('Réel 2024'!$C$3:$AO$3=Z$2),'Réel 2024'!$C$8:$AO$501)</f>
        <v>60867.57</v>
      </c>
      <c r="AM477" s="253"/>
      <c r="AN477" s="405">
        <f t="shared" si="108"/>
        <v>29072.409999999996</v>
      </c>
      <c r="AO477" s="217">
        <f t="shared" si="101"/>
        <v>0.47763382044001423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85373.574999999997</v>
      </c>
      <c r="AA480" s="249"/>
      <c r="AB480" s="242"/>
      <c r="AC480" s="87"/>
      <c r="AD480" s="251"/>
      <c r="AE480" s="242"/>
      <c r="AF480" s="87">
        <f>+SUMIF($C:$C,$V480,L:L)</f>
        <v>79730</v>
      </c>
      <c r="AG480" s="250"/>
      <c r="AH480" s="405">
        <f t="shared" si="102"/>
        <v>-5643.5749999999971</v>
      </c>
      <c r="AI480" s="97">
        <f t="shared" si="107"/>
        <v>-6.6104470850611524E-2</v>
      </c>
      <c r="AJ480" s="251"/>
      <c r="AK480" s="249"/>
      <c r="AL480" s="252" cm="1">
        <f t="array" ref="AL480">+SUMPRODUCT(('Réel 2024'!$A$8:$A$501=$A480)*('Réel 2024'!$C$3:$AO$3=Z$2),'Réel 2024'!$C$8:$AO$501)</f>
        <v>71400</v>
      </c>
      <c r="AM480" s="253"/>
      <c r="AN480" s="405">
        <f t="shared" si="108"/>
        <v>8330</v>
      </c>
      <c r="AO480" s="217">
        <f t="shared" si="101"/>
        <v>0.11666666666666667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0.34238395075548889</v>
      </c>
      <c r="Y481" s="103"/>
      <c r="Z481" s="90">
        <f>SUM(Z469:Z480)</f>
        <v>462353.8985854545</v>
      </c>
      <c r="AA481" s="89"/>
      <c r="AB481" s="103"/>
      <c r="AC481" s="90"/>
      <c r="AD481" s="89">
        <f>AF481/+AF407</f>
        <v>0.31300798429375698</v>
      </c>
      <c r="AE481" s="103"/>
      <c r="AF481" s="90">
        <f>SUM(AF469:AF480)</f>
        <v>477056.17</v>
      </c>
      <c r="AG481" s="99"/>
      <c r="AH481" s="93">
        <f t="shared" si="102"/>
        <v>14702.271414545481</v>
      </c>
      <c r="AI481" s="89">
        <f>AH481/Z481</f>
        <v>3.1798740011766413E-2</v>
      </c>
      <c r="AJ481" s="109"/>
      <c r="AK481" s="110"/>
      <c r="AL481" s="90">
        <f>SUM(AL469:AL480)</f>
        <v>557138.71</v>
      </c>
      <c r="AM481" s="111"/>
      <c r="AN481" s="93">
        <f t="shared" si="108"/>
        <v>-80082.539999999979</v>
      </c>
      <c r="AO481" s="558">
        <f t="shared" si="101"/>
        <v>-0.14373896224155738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5.0108798050829059E-3</v>
      </c>
      <c r="Z483" s="433">
        <f>Z407-Z468+Z481</f>
        <v>74722.776038450131</v>
      </c>
      <c r="AA483" s="431"/>
      <c r="AB483" s="432"/>
      <c r="AC483" s="433"/>
      <c r="AD483" s="431" t="s">
        <v>247</v>
      </c>
      <c r="AE483" s="432">
        <f>AF483/AF406</f>
        <v>1.887510633800784E-2</v>
      </c>
      <c r="AF483" s="220">
        <f>AF407-AF468+AF481</f>
        <v>251704.01000000053</v>
      </c>
      <c r="AG483" s="434"/>
      <c r="AH483" s="220">
        <f>AF483-Z483</f>
        <v>176981.2339615504</v>
      </c>
      <c r="AI483" s="762">
        <f>AH483/Z483</f>
        <v>2.3685045356248686</v>
      </c>
      <c r="AJ483" s="435" t="s">
        <v>247</v>
      </c>
      <c r="AK483" s="432">
        <f>IF($AL$406=0,0,AL483/$AL$406)</f>
        <v>1.2158372909544701E-2</v>
      </c>
      <c r="AL483" s="220">
        <f>AL407-AL468+AL481</f>
        <v>154914.4599999988</v>
      </c>
      <c r="AM483" s="221"/>
      <c r="AN483" s="220">
        <f t="shared" si="108"/>
        <v>96789.550000001735</v>
      </c>
      <c r="AO483" s="436">
        <f t="shared" si="101"/>
        <v>0.62479351507924108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Avril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1.3890510484089992E-2</v>
      </c>
      <c r="Z488" s="1160">
        <f>Z489+Z415</f>
        <v>207136.77923576281</v>
      </c>
      <c r="AA488" s="1157"/>
      <c r="AB488" s="1158"/>
      <c r="AC488" s="1159"/>
      <c r="AD488" s="1157" t="s">
        <v>247</v>
      </c>
      <c r="AE488" s="1158">
        <f>AF488/AF406</f>
        <v>2.7149721390846353E-2</v>
      </c>
      <c r="AF488" s="1160">
        <f>AF489+AF415</f>
        <v>362047.96000000054</v>
      </c>
      <c r="AG488" s="1161"/>
      <c r="AH488" s="1161">
        <f t="shared" ref="AH488" si="112">AF488-Z488</f>
        <v>154911.18076423774</v>
      </c>
      <c r="AI488" s="1162">
        <f>AH488/Z488</f>
        <v>0.74786902324052285</v>
      </c>
      <c r="AJ488" s="1157" t="s">
        <v>247</v>
      </c>
      <c r="AK488" s="1158">
        <f>IF($AL$406=0,0,AL488/$AL$406)</f>
        <v>2.5036363268214536E-2</v>
      </c>
      <c r="AL488" s="1160">
        <f>AL489+AL415</f>
        <v>318997.8399999988</v>
      </c>
      <c r="AM488" s="1163"/>
      <c r="AN488" s="1160">
        <f t="shared" ref="AN488" si="113">AF488-AL488</f>
        <v>43050.120000001742</v>
      </c>
      <c r="AO488" s="1164">
        <f t="shared" ref="AO488" si="114">IF(AL488=0,0,AN488/AL488)</f>
        <v>0.13495426802890548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5.0108798050829059E-3</v>
      </c>
      <c r="Z489" s="441">
        <f>Z483</f>
        <v>74722.776038450131</v>
      </c>
      <c r="AA489" s="439"/>
      <c r="AB489" s="440"/>
      <c r="AC489" s="441"/>
      <c r="AD489" s="439" t="s">
        <v>247</v>
      </c>
      <c r="AE489" s="440">
        <f>AF489/AF406</f>
        <v>1.887510633800784E-2</v>
      </c>
      <c r="AF489" s="441">
        <f>AF483</f>
        <v>251704.01000000053</v>
      </c>
      <c r="AG489" s="442"/>
      <c r="AH489" s="220">
        <f>AF489-Z489</f>
        <v>176981.2339615504</v>
      </c>
      <c r="AI489" s="762">
        <f>AH489/Z489</f>
        <v>2.3685045356248686</v>
      </c>
      <c r="AJ489" s="439" t="s">
        <v>247</v>
      </c>
      <c r="AK489" s="440">
        <f>IF($AL$406=0,0,AL489/$AL$406)</f>
        <v>1.2158372909544701E-2</v>
      </c>
      <c r="AL489" s="443">
        <f>AL483</f>
        <v>154914.4599999988</v>
      </c>
      <c r="AM489" s="444"/>
      <c r="AN489" s="445">
        <f>AF489-AL489</f>
        <v>96789.550000001735</v>
      </c>
      <c r="AO489" s="446">
        <f>IF(AL489=0,0,AN489/AL489)</f>
        <v>0.62479351507924108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77200</v>
      </c>
      <c r="AA491" s="403"/>
      <c r="AB491" s="409"/>
      <c r="AC491" s="87"/>
      <c r="AD491" s="403"/>
      <c r="AE491" s="409"/>
      <c r="AF491" s="87">
        <f>SUMIFS(BV_Data_An_Cour!$P:$P,BV_Data_An_Cour!$V:$V,$V491)</f>
        <v>77200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2024'!$A$8:$A$501=$A491)*('Réel 2024'!$C$3:$AO$3=Z$2),'Réel 2024'!$C$8:$AO$501)</f>
        <v>83880</v>
      </c>
      <c r="AM491" s="407"/>
      <c r="AN491" s="405">
        <f t="shared" ref="AN491:AN498" si="117">AF491-AL491</f>
        <v>-6680</v>
      </c>
      <c r="AO491" s="217">
        <f t="shared" ref="AO491:AO498" si="118">IF(AL491=0,0,AN491/AL491)</f>
        <v>-7.9637577491654746E-2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2024'!$A$8:$A$501=$A492)*('Réel 2024'!$C$3:$AO$3=Z$2),'Réel 2024'!$C$8:$AO$501)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2024'!$A$8:$A$501=$A493)*('Réel 2024'!$C$3:$AO$3=Z$2),'Réel 2024'!$C$8:$AO$501)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2024'!$A$8:$A$501=$A494)*('Réel 2024'!$C$3:$AO$3=Z$2),'Réel 2024'!$C$8:$AO$501)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2024'!$A$8:$A$501=$A495)*('Réel 2024'!$C$3:$AO$3=Z$2),'Réel 2024'!$C$8:$AO$501)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2815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-10275.081967213115</v>
      </c>
      <c r="AA496" s="403"/>
      <c r="AB496" s="403"/>
      <c r="AC496" s="405"/>
      <c r="AD496" s="410"/>
      <c r="AE496" s="409"/>
      <c r="AF496" s="87">
        <f>SUMIFS(BV_Data_An_Cour!$P:$P,BV_Data_An_Cour!$V:$V,$V496)</f>
        <v>-10275.08</v>
      </c>
      <c r="AG496" s="404"/>
      <c r="AH496" s="405">
        <f t="shared" si="115"/>
        <v>1.9672131147672189E-3</v>
      </c>
      <c r="AI496" s="406">
        <f t="shared" si="116"/>
        <v>-1.9145473691055929E-7</v>
      </c>
      <c r="AJ496" s="410"/>
      <c r="AK496" s="403"/>
      <c r="AL496" s="87" cm="1">
        <f t="array" ref="AL496">+SUMPRODUCT(('Réel 2024'!$A$8:$A$501=$A496)*('Réel 2024'!$C$3:$AO$3=Z$2),'Réel 2024'!$C$8:$AO$501)</f>
        <v>-31284.59</v>
      </c>
      <c r="AM496" s="450"/>
      <c r="AN496" s="405">
        <f t="shared" si="117"/>
        <v>21009.510000000002</v>
      </c>
      <c r="AO496" s="217">
        <f t="shared" si="118"/>
        <v>-0.67156098257960239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2024'!$A$8:$A$501=$A497)*('Réel 2024'!$C$3:$AO$3=Z$2),'Réel 2024'!$C$8:$AO$501)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5.2292127347323969E-4</v>
      </c>
      <c r="Z498" s="433">
        <f>Z489-Z491-Z492-Z493-Z497-Z496-Z494-Z495</f>
        <v>7797.8580056632454</v>
      </c>
      <c r="AA498" s="431"/>
      <c r="AB498" s="432"/>
      <c r="AC498" s="433"/>
      <c r="AD498" s="431" t="s">
        <v>247</v>
      </c>
      <c r="AE498" s="432">
        <f>AF498/AF406</f>
        <v>1.3856453748155714E-2</v>
      </c>
      <c r="AF498" s="220">
        <f>AF489-AF491-AF492-AF493-AF497-AF496-AF494-AF495</f>
        <v>184779.09000000052</v>
      </c>
      <c r="AG498" s="434"/>
      <c r="AH498" s="220">
        <f t="shared" si="115"/>
        <v>176981.23199433729</v>
      </c>
      <c r="AI498" s="762">
        <f>AH498/Z498</f>
        <v>22.696134228887409</v>
      </c>
      <c r="AJ498" s="435" t="s">
        <v>247</v>
      </c>
      <c r="AK498" s="432">
        <f>IF($AL$406=0,0,AL498/$AL$406)</f>
        <v>8.0304521969759603E-3</v>
      </c>
      <c r="AL498" s="220">
        <f>AL489-AL491-AL492-AL493-AL497-AL496-AL494-AL495</f>
        <v>102319.0499999988</v>
      </c>
      <c r="AM498" s="221"/>
      <c r="AN498" s="220">
        <f t="shared" si="117"/>
        <v>82460.040000001725</v>
      </c>
      <c r="AO498" s="451">
        <f t="shared" si="118"/>
        <v>0.80591092274608389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48042.559999999998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136736.53000000052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AF498/Z498</f>
        <v>23.696134228887406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0.25999998159964888</v>
      </c>
      <c r="AG508" s="79"/>
      <c r="AH508" s="721">
        <f>AH498/Z498</f>
        <v>22.696134228887409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9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658" activePane="bottomLeft" state="frozen"/>
      <selection activeCell="K1" sqref="A1:K1048576"/>
      <selection pane="bottomLeft" activeCell="A2" sqref="A2:K661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8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 t="s">
        <v>2971</v>
      </c>
      <c r="I2" s="673">
        <v>-87245</v>
      </c>
      <c r="J2" s="673">
        <v>0</v>
      </c>
      <c r="K2" s="673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504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 t="s">
        <v>2971</v>
      </c>
      <c r="I3" s="672">
        <v>-69697</v>
      </c>
      <c r="J3" s="672">
        <v>0</v>
      </c>
      <c r="K3" s="672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 t="s">
        <v>2971</v>
      </c>
      <c r="I4" s="673">
        <v>0</v>
      </c>
      <c r="J4" s="673">
        <v>130263</v>
      </c>
      <c r="K4" s="673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0</v>
      </c>
      <c r="O4" s="151">
        <f>+IF(OR($Q4=Parametres!$G$2,$Q4=Parametres!$G$3),J4,D4)</f>
        <v>130263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1244</v>
      </c>
      <c r="B5" s="718" t="s">
        <v>496</v>
      </c>
      <c r="C5" s="719"/>
      <c r="D5" s="719"/>
      <c r="E5" s="719"/>
      <c r="F5" s="718" t="s">
        <v>1</v>
      </c>
      <c r="G5" s="718" t="s">
        <v>2448</v>
      </c>
      <c r="H5" s="719" t="s">
        <v>2971</v>
      </c>
      <c r="I5" s="720">
        <v>0.04</v>
      </c>
      <c r="J5" s="720">
        <v>0</v>
      </c>
      <c r="K5" s="720">
        <v>0.04</v>
      </c>
      <c r="L5" s="149" t="str">
        <f t="shared" si="0"/>
        <v>120A</v>
      </c>
      <c r="M5" s="150" t="str">
        <f t="shared" si="1"/>
        <v>JANV. NB VENTE NEUF BMW AUTO</v>
      </c>
      <c r="N5" s="151">
        <f>+IF(OR($Q5=Parametres!$G$2,$Q5=Parametres!$G$3),I5,C5)</f>
        <v>0.04</v>
      </c>
      <c r="O5" s="504">
        <f>+IF(OR($Q5=Parametres!$G$2,$Q5=Parametres!$G$3),J5,D5)</f>
        <v>0</v>
      </c>
      <c r="P5" s="151">
        <f>+IF(OR($Q5=Parametres!$G$2,$Q5=Parametres!$G$3),K5,E5)</f>
        <v>0.04</v>
      </c>
      <c r="Q5" s="150" t="str">
        <f t="shared" si="2"/>
        <v>1-Mémo</v>
      </c>
      <c r="R5" s="149" t="str">
        <f t="shared" si="3"/>
        <v>120</v>
      </c>
      <c r="S5" s="150" t="str">
        <f t="shared" si="4"/>
        <v>_</v>
      </c>
      <c r="T5" s="152" t="str">
        <f>+VLOOKUP($L5,Data_Validation!$A:$D,1,0)</f>
        <v>120A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1245</v>
      </c>
      <c r="B6" s="718" t="s">
        <v>497</v>
      </c>
      <c r="C6" s="720"/>
      <c r="D6" s="720"/>
      <c r="E6" s="720"/>
      <c r="F6" s="718" t="s">
        <v>1</v>
      </c>
      <c r="G6" s="718" t="s">
        <v>2448</v>
      </c>
      <c r="H6" s="673" t="s">
        <v>2971</v>
      </c>
      <c r="I6" s="672">
        <v>0.04</v>
      </c>
      <c r="J6" s="672">
        <v>0</v>
      </c>
      <c r="K6" s="672">
        <v>0.04</v>
      </c>
      <c r="L6" s="149" t="str">
        <f t="shared" si="0"/>
        <v>120B</v>
      </c>
      <c r="M6" s="150" t="str">
        <f t="shared" si="1"/>
        <v>FEV. NB VENTE NEUF BMW AUTO</v>
      </c>
      <c r="N6" s="151">
        <f>+IF(OR($Q6=Parametres!$G$2,$Q6=Parametres!$G$3),I6,C6)</f>
        <v>0.04</v>
      </c>
      <c r="O6" s="151">
        <f>+IF(OR($Q6=Parametres!$G$2,$Q6=Parametres!$G$3),J6,D6)</f>
        <v>0</v>
      </c>
      <c r="P6" s="151">
        <f>+IF(OR($Q6=Parametres!$G$2,$Q6=Parametres!$G$3),K6,E6)</f>
        <v>0.04</v>
      </c>
      <c r="Q6" s="150" t="str">
        <f t="shared" si="2"/>
        <v>1-Mémo</v>
      </c>
      <c r="R6" s="149" t="str">
        <f t="shared" si="3"/>
        <v>120</v>
      </c>
      <c r="S6" s="150" t="str">
        <f t="shared" si="4"/>
        <v>_</v>
      </c>
      <c r="T6" s="152" t="str">
        <f>+VLOOKUP($L6,Data_Validation!$A:$D,1,0)</f>
        <v>120B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1246</v>
      </c>
      <c r="B7" s="718" t="s">
        <v>498</v>
      </c>
      <c r="C7" s="720"/>
      <c r="D7" s="720"/>
      <c r="E7" s="720"/>
      <c r="F7" s="718" t="s">
        <v>1</v>
      </c>
      <c r="G7" s="718" t="s">
        <v>2448</v>
      </c>
      <c r="H7" s="673" t="s">
        <v>2971</v>
      </c>
      <c r="I7" s="673">
        <v>7.0000000000000007E-2</v>
      </c>
      <c r="J7" s="673">
        <v>0</v>
      </c>
      <c r="K7" s="673">
        <v>7.0000000000000007E-2</v>
      </c>
      <c r="L7" s="149" t="str">
        <f t="shared" si="0"/>
        <v>120C</v>
      </c>
      <c r="M7" s="150" t="str">
        <f t="shared" si="1"/>
        <v>MARS NB VENTE NEUF BMW AUTO</v>
      </c>
      <c r="N7" s="151">
        <f>+IF(OR($Q7=Parametres!$G$2,$Q7=Parametres!$G$3),I7,C7)</f>
        <v>7.0000000000000007E-2</v>
      </c>
      <c r="O7" s="151">
        <f>+IF(OR($Q7=Parametres!$G$2,$Q7=Parametres!$G$3),J7,D7)</f>
        <v>0</v>
      </c>
      <c r="P7" s="151">
        <f>+IF(OR($Q7=Parametres!$G$2,$Q7=Parametres!$G$3),K7,E7)</f>
        <v>7.0000000000000007E-2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120C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1247</v>
      </c>
      <c r="B8" s="718" t="s">
        <v>988</v>
      </c>
      <c r="C8" s="720"/>
      <c r="D8" s="720"/>
      <c r="E8" s="720"/>
      <c r="F8" s="718" t="s">
        <v>1</v>
      </c>
      <c r="G8" s="718" t="s">
        <v>2448</v>
      </c>
      <c r="H8" s="666" t="s">
        <v>2971</v>
      </c>
      <c r="I8" s="665">
        <v>0</v>
      </c>
      <c r="J8" s="665">
        <v>7.0000000000000007E-2</v>
      </c>
      <c r="K8" s="665">
        <v>7.0000000000000007E-2</v>
      </c>
      <c r="L8" s="149" t="str">
        <f t="shared" si="0"/>
        <v>120D</v>
      </c>
      <c r="M8" s="150" t="str">
        <f t="shared" si="1"/>
        <v>AVRIL NB VENTE NEUF BMW AUTO</v>
      </c>
      <c r="N8" s="151">
        <f>+IF(OR($Q8=Parametres!$G$2,$Q8=Parametres!$G$3),I8,C8)</f>
        <v>0</v>
      </c>
      <c r="O8" s="151">
        <f>+IF(OR($Q8=Parametres!$G$2,$Q8=Parametres!$G$3),J8,D8)</f>
        <v>7.0000000000000007E-2</v>
      </c>
      <c r="P8" s="151">
        <f>+IF(OR($Q8=Parametres!$G$2,$Q8=Parametres!$G$3),K8,E8)</f>
        <v>7.0000000000000007E-2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120D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1998</v>
      </c>
      <c r="B9" s="718" t="s">
        <v>1999</v>
      </c>
      <c r="C9" s="720"/>
      <c r="D9" s="720"/>
      <c r="E9" s="720"/>
      <c r="F9" s="718" t="s">
        <v>1</v>
      </c>
      <c r="G9" s="718" t="s">
        <v>2468</v>
      </c>
      <c r="H9" s="666" t="s">
        <v>2971</v>
      </c>
      <c r="I9" s="665">
        <v>0.05</v>
      </c>
      <c r="J9" s="665">
        <v>0</v>
      </c>
      <c r="K9" s="665">
        <v>0.05</v>
      </c>
      <c r="L9" s="149" t="str">
        <f t="shared" si="0"/>
        <v>122A</v>
      </c>
      <c r="M9" s="150" t="str">
        <f t="shared" si="1"/>
        <v>JANV. NB VENTE NEUF BMW I</v>
      </c>
      <c r="N9" s="151">
        <f>+IF(OR($Q9=Parametres!$G$2,$Q9=Parametres!$G$3),I9,C9)</f>
        <v>0.05</v>
      </c>
      <c r="O9" s="504">
        <f>+IF(OR($Q9=Parametres!$G$2,$Q9=Parametres!$G$3),J9,D9)</f>
        <v>0</v>
      </c>
      <c r="P9" s="151">
        <f>+IF(OR($Q9=Parametres!$G$2,$Q9=Parametres!$G$3),K9,E9)</f>
        <v>0.05</v>
      </c>
      <c r="Q9" s="150" t="str">
        <f t="shared" si="2"/>
        <v>1-Mémo</v>
      </c>
      <c r="R9" s="149" t="str">
        <f t="shared" si="3"/>
        <v>122</v>
      </c>
      <c r="S9" s="150" t="str">
        <f t="shared" si="4"/>
        <v>_</v>
      </c>
      <c r="T9" s="152" t="str">
        <f>+VLOOKUP($L9,Data_Validation!$A:$D,1,0)</f>
        <v>122A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1257</v>
      </c>
      <c r="B10" s="718" t="s">
        <v>1258</v>
      </c>
      <c r="C10" s="720"/>
      <c r="D10" s="720"/>
      <c r="E10" s="720"/>
      <c r="F10" s="718" t="s">
        <v>1</v>
      </c>
      <c r="G10" s="718" t="s">
        <v>2468</v>
      </c>
      <c r="H10" s="673" t="s">
        <v>2971</v>
      </c>
      <c r="I10" s="672">
        <v>0.01</v>
      </c>
      <c r="J10" s="672">
        <v>0</v>
      </c>
      <c r="K10" s="672">
        <v>0.01</v>
      </c>
      <c r="L10" s="149" t="str">
        <f t="shared" si="0"/>
        <v>122C</v>
      </c>
      <c r="M10" s="150" t="str">
        <f t="shared" si="1"/>
        <v>MARS NB VENTE NEUF BMW I</v>
      </c>
      <c r="N10" s="151">
        <f>+IF(OR($Q10=Parametres!$G$2,$Q10=Parametres!$G$3),I10,C10)</f>
        <v>0.01</v>
      </c>
      <c r="O10" s="151">
        <f>+IF(OR($Q10=Parametres!$G$2,$Q10=Parametres!$G$3),J10,D10)</f>
        <v>0</v>
      </c>
      <c r="P10" s="151">
        <f>+IF(OR($Q10=Parametres!$G$2,$Q10=Parametres!$G$3),K10,E10)</f>
        <v>0.01</v>
      </c>
      <c r="Q10" s="150" t="str">
        <f t="shared" si="2"/>
        <v>1-Mémo</v>
      </c>
      <c r="R10" s="149" t="str">
        <f t="shared" si="3"/>
        <v>122</v>
      </c>
      <c r="S10" s="150" t="str">
        <f t="shared" si="4"/>
        <v>_</v>
      </c>
      <c r="T10" s="152" t="str">
        <f>+VLOOKUP($L10,Data_Validation!$A:$D,1,0)</f>
        <v>122C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989</v>
      </c>
      <c r="B11" s="718" t="s">
        <v>990</v>
      </c>
      <c r="C11" s="720"/>
      <c r="D11" s="720"/>
      <c r="E11" s="720"/>
      <c r="F11" s="718" t="s">
        <v>1</v>
      </c>
      <c r="G11" s="718" t="s">
        <v>2468</v>
      </c>
      <c r="H11" s="673" t="s">
        <v>2971</v>
      </c>
      <c r="I11" s="672">
        <v>0</v>
      </c>
      <c r="J11" s="672">
        <v>0.06</v>
      </c>
      <c r="K11" s="672">
        <v>0.06</v>
      </c>
      <c r="L11" s="149" t="str">
        <f t="shared" si="0"/>
        <v>122D</v>
      </c>
      <c r="M11" s="150" t="str">
        <f t="shared" si="1"/>
        <v>AVRIL NB VENTE NEUF BMW I</v>
      </c>
      <c r="N11" s="151">
        <f>+IF(OR($Q11=Parametres!$G$2,$Q11=Parametres!$G$3),I11,C11)</f>
        <v>0</v>
      </c>
      <c r="O11" s="151">
        <f>+IF(OR($Q11=Parametres!$G$2,$Q11=Parametres!$G$3),J11,D11)</f>
        <v>0.06</v>
      </c>
      <c r="P11" s="151">
        <f>+IF(OR($Q11=Parametres!$G$2,$Q11=Parametres!$G$3),K11,E11)</f>
        <v>0.06</v>
      </c>
      <c r="Q11" s="150" t="str">
        <f t="shared" si="2"/>
        <v>1-Mémo</v>
      </c>
      <c r="R11" s="149" t="str">
        <f t="shared" si="3"/>
        <v>122</v>
      </c>
      <c r="S11" s="150" t="str">
        <f t="shared" si="4"/>
        <v>_</v>
      </c>
      <c r="T11" s="152" t="str">
        <f>+VLOOKUP($L11,Data_Validation!$A:$D,1,0)</f>
        <v>122D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1259</v>
      </c>
      <c r="B12" s="718" t="s">
        <v>509</v>
      </c>
      <c r="C12" s="719"/>
      <c r="D12" s="719"/>
      <c r="E12" s="719"/>
      <c r="F12" s="718" t="s">
        <v>1</v>
      </c>
      <c r="G12" s="718" t="s">
        <v>2449</v>
      </c>
      <c r="H12" s="719" t="s">
        <v>2971</v>
      </c>
      <c r="I12" s="720">
        <v>0.13</v>
      </c>
      <c r="J12" s="720">
        <v>0</v>
      </c>
      <c r="K12" s="720">
        <v>0.13</v>
      </c>
      <c r="L12" s="149" t="str">
        <f t="shared" si="0"/>
        <v>124A</v>
      </c>
      <c r="M12" s="150" t="str">
        <f t="shared" si="1"/>
        <v>JANV. NB VENTE USAGE DETAIL</v>
      </c>
      <c r="N12" s="151">
        <f>+IF(OR($Q12=Parametres!$G$2,$Q12=Parametres!$G$3),I12,C12)</f>
        <v>0.13</v>
      </c>
      <c r="O12" s="151">
        <f>+IF(OR($Q12=Parametres!$G$2,$Q12=Parametres!$G$3),J12,D12)</f>
        <v>0</v>
      </c>
      <c r="P12" s="151">
        <f>+IF(OR($Q12=Parametres!$G$2,$Q12=Parametres!$G$3),K12,E12)</f>
        <v>0.13</v>
      </c>
      <c r="Q12" s="150" t="str">
        <f t="shared" si="2"/>
        <v>1-Mémo</v>
      </c>
      <c r="R12" s="149" t="str">
        <f t="shared" si="3"/>
        <v>124</v>
      </c>
      <c r="S12" s="150" t="str">
        <f t="shared" si="4"/>
        <v>_</v>
      </c>
      <c r="T12" s="152" t="str">
        <f>+VLOOKUP($L12,Data_Validation!$A:$D,1,0)</f>
        <v>124A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1260</v>
      </c>
      <c r="B13" s="718" t="s">
        <v>510</v>
      </c>
      <c r="C13" s="720"/>
      <c r="D13" s="720"/>
      <c r="E13" s="720"/>
      <c r="F13" s="718" t="s">
        <v>1</v>
      </c>
      <c r="G13" s="718" t="s">
        <v>2449</v>
      </c>
      <c r="H13" s="673" t="s">
        <v>2971</v>
      </c>
      <c r="I13" s="672">
        <v>0.13</v>
      </c>
      <c r="J13" s="672">
        <v>0</v>
      </c>
      <c r="K13" s="672">
        <v>0.13</v>
      </c>
      <c r="L13" s="149" t="str">
        <f t="shared" si="0"/>
        <v>124B</v>
      </c>
      <c r="M13" s="150" t="str">
        <f t="shared" si="1"/>
        <v>FEV. NB VENTE USAGE DETAIL</v>
      </c>
      <c r="N13" s="151">
        <f>+IF(OR($Q13=Parametres!$G$2,$Q13=Parametres!$G$3),I13,C13)</f>
        <v>0.13</v>
      </c>
      <c r="O13" s="151">
        <f>+IF(OR($Q13=Parametres!$G$2,$Q13=Parametres!$G$3),J13,D13)</f>
        <v>0</v>
      </c>
      <c r="P13" s="151">
        <f>+IF(OR($Q13=Parametres!$G$2,$Q13=Parametres!$G$3),K13,E13)</f>
        <v>0.13</v>
      </c>
      <c r="Q13" s="150" t="str">
        <f t="shared" si="2"/>
        <v>1-Mémo</v>
      </c>
      <c r="R13" s="149" t="str">
        <f t="shared" si="3"/>
        <v>124</v>
      </c>
      <c r="S13" s="150" t="str">
        <f t="shared" si="4"/>
        <v>_</v>
      </c>
      <c r="T13" s="152" t="str">
        <f>+VLOOKUP($L13,Data_Validation!$A:$D,1,0)</f>
        <v>124B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1261</v>
      </c>
      <c r="B14" s="718" t="s">
        <v>511</v>
      </c>
      <c r="C14" s="720"/>
      <c r="D14" s="720"/>
      <c r="E14" s="720"/>
      <c r="F14" s="718" t="s">
        <v>1</v>
      </c>
      <c r="G14" s="718" t="s">
        <v>2449</v>
      </c>
      <c r="H14" s="673" t="s">
        <v>2971</v>
      </c>
      <c r="I14" s="672">
        <v>0.18</v>
      </c>
      <c r="J14" s="672">
        <v>0</v>
      </c>
      <c r="K14" s="672">
        <v>0.18</v>
      </c>
      <c r="L14" s="149" t="str">
        <f t="shared" si="0"/>
        <v>124C</v>
      </c>
      <c r="M14" s="150" t="str">
        <f t="shared" si="1"/>
        <v>MARS NB VENTE USAGE DETAIL</v>
      </c>
      <c r="N14" s="151">
        <f>+IF(OR($Q14=Parametres!$G$2,$Q14=Parametres!$G$3),I14,C14)</f>
        <v>0.18</v>
      </c>
      <c r="O14" s="151">
        <f>+IF(OR($Q14=Parametres!$G$2,$Q14=Parametres!$G$3),J14,D14)</f>
        <v>0</v>
      </c>
      <c r="P14" s="151">
        <f>+IF(OR($Q14=Parametres!$G$2,$Q14=Parametres!$G$3),K14,E14)</f>
        <v>0.18</v>
      </c>
      <c r="Q14" s="150" t="str">
        <f t="shared" si="2"/>
        <v>1-Mémo</v>
      </c>
      <c r="R14" s="149" t="str">
        <f t="shared" si="3"/>
        <v>124</v>
      </c>
      <c r="S14" s="150" t="str">
        <f t="shared" si="4"/>
        <v>_</v>
      </c>
      <c r="T14" s="152" t="str">
        <f>+VLOOKUP($L14,Data_Validation!$A:$D,1,0)</f>
        <v>124C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1262</v>
      </c>
      <c r="B15" s="718" t="s">
        <v>512</v>
      </c>
      <c r="C15" s="719"/>
      <c r="D15" s="719"/>
      <c r="E15" s="719"/>
      <c r="F15" s="718" t="s">
        <v>1</v>
      </c>
      <c r="G15" s="718" t="s">
        <v>2449</v>
      </c>
      <c r="H15" s="719" t="s">
        <v>2971</v>
      </c>
      <c r="I15" s="720">
        <v>0</v>
      </c>
      <c r="J15" s="720">
        <v>0.22</v>
      </c>
      <c r="K15" s="720">
        <v>0.22</v>
      </c>
      <c r="L15" s="149" t="str">
        <f t="shared" si="0"/>
        <v>124D</v>
      </c>
      <c r="M15" s="150" t="str">
        <f t="shared" si="1"/>
        <v>AVRIL NB VENTE USAGE DETAIL</v>
      </c>
      <c r="N15" s="151">
        <f>+IF(OR($Q15=Parametres!$G$2,$Q15=Parametres!$G$3),I15,C15)</f>
        <v>0</v>
      </c>
      <c r="O15" s="151">
        <f>+IF(OR($Q15=Parametres!$G$2,$Q15=Parametres!$G$3),J15,D15)</f>
        <v>0.22</v>
      </c>
      <c r="P15" s="151">
        <f>+IF(OR($Q15=Parametres!$G$2,$Q15=Parametres!$G$3),K15,E15)</f>
        <v>0.22</v>
      </c>
      <c r="Q15" s="150" t="str">
        <f t="shared" si="2"/>
        <v>1-Mémo</v>
      </c>
      <c r="R15" s="149" t="str">
        <f t="shared" si="3"/>
        <v>124</v>
      </c>
      <c r="S15" s="150" t="str">
        <f t="shared" si="4"/>
        <v>_</v>
      </c>
      <c r="T15" s="152" t="str">
        <f>+VLOOKUP($L15,Data_Validation!$A:$D,1,0)</f>
        <v>124D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1270</v>
      </c>
      <c r="B16" s="718" t="s">
        <v>520</v>
      </c>
      <c r="C16" s="719"/>
      <c r="D16" s="719"/>
      <c r="E16" s="719"/>
      <c r="F16" s="718" t="s">
        <v>1</v>
      </c>
      <c r="G16" s="718" t="s">
        <v>2450</v>
      </c>
      <c r="H16" s="719" t="s">
        <v>2971</v>
      </c>
      <c r="I16" s="720">
        <v>0.05</v>
      </c>
      <c r="J16" s="720">
        <v>0</v>
      </c>
      <c r="K16" s="720">
        <v>0.05</v>
      </c>
      <c r="L16" s="149" t="str">
        <f t="shared" si="0"/>
        <v>126A</v>
      </c>
      <c r="M16" s="150" t="str">
        <f t="shared" si="1"/>
        <v>JANV. NB VENTE NEUF BMW CAMION</v>
      </c>
      <c r="N16" s="151">
        <f>+IF(OR($Q16=Parametres!$G$2,$Q16=Parametres!$G$3),I16,C16)</f>
        <v>0.05</v>
      </c>
      <c r="O16" s="505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126</v>
      </c>
      <c r="S16" s="150" t="str">
        <f t="shared" si="4"/>
        <v>_</v>
      </c>
      <c r="T16" s="152" t="str">
        <f>+VLOOKUP($L16,Data_Validation!$A:$D,1,0)</f>
        <v>126A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1271</v>
      </c>
      <c r="B17" s="718" t="s">
        <v>521</v>
      </c>
      <c r="C17" s="720"/>
      <c r="D17" s="720"/>
      <c r="E17" s="720"/>
      <c r="F17" s="718" t="s">
        <v>1</v>
      </c>
      <c r="G17" s="718" t="s">
        <v>2450</v>
      </c>
      <c r="H17" s="673" t="s">
        <v>2971</v>
      </c>
      <c r="I17" s="672">
        <v>0.05</v>
      </c>
      <c r="J17" s="672">
        <v>0</v>
      </c>
      <c r="K17" s="672">
        <v>0.05</v>
      </c>
      <c r="L17" s="149" t="str">
        <f t="shared" si="0"/>
        <v>126B</v>
      </c>
      <c r="M17" s="150" t="str">
        <f t="shared" si="1"/>
        <v>FEV. NB VENTE NEUF BMW CAMION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126</v>
      </c>
      <c r="S17" s="150" t="str">
        <f t="shared" si="4"/>
        <v>_</v>
      </c>
      <c r="T17" s="152" t="str">
        <f>+VLOOKUP($L17,Data_Validation!$A:$D,1,0)</f>
        <v>126B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1272</v>
      </c>
      <c r="B18" s="718" t="s">
        <v>522</v>
      </c>
      <c r="C18" s="720"/>
      <c r="D18" s="720"/>
      <c r="E18" s="720"/>
      <c r="F18" s="718" t="s">
        <v>1</v>
      </c>
      <c r="G18" s="718" t="s">
        <v>2450</v>
      </c>
      <c r="H18" s="666" t="s">
        <v>2971</v>
      </c>
      <c r="I18" s="665">
        <v>0.19</v>
      </c>
      <c r="J18" s="665">
        <v>0</v>
      </c>
      <c r="K18" s="665">
        <v>0.19</v>
      </c>
      <c r="L18" s="149" t="str">
        <f t="shared" si="0"/>
        <v>126C</v>
      </c>
      <c r="M18" s="150" t="str">
        <f t="shared" si="1"/>
        <v>MARS NB VENTE NEUF BMW CAMION</v>
      </c>
      <c r="N18" s="151">
        <f>+IF(OR($Q18=Parametres!$G$2,$Q18=Parametres!$G$3),I18,C18)</f>
        <v>0.19</v>
      </c>
      <c r="O18" s="151">
        <f>+IF(OR($Q18=Parametres!$G$2,$Q18=Parametres!$G$3),J18,D18)</f>
        <v>0</v>
      </c>
      <c r="P18" s="151">
        <f>+IF(OR($Q18=Parametres!$G$2,$Q18=Parametres!$G$3),K18,E18)</f>
        <v>0.19</v>
      </c>
      <c r="Q18" s="150" t="str">
        <f t="shared" si="2"/>
        <v>1-Mémo</v>
      </c>
      <c r="R18" s="149" t="str">
        <f t="shared" si="3"/>
        <v>126</v>
      </c>
      <c r="S18" s="150" t="str">
        <f t="shared" si="4"/>
        <v>_</v>
      </c>
      <c r="T18" s="152" t="str">
        <f>+VLOOKUP($L18,Data_Validation!$A:$D,1,0)</f>
        <v>126C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1273</v>
      </c>
      <c r="B19" s="718" t="s">
        <v>523</v>
      </c>
      <c r="C19" s="720"/>
      <c r="D19" s="720"/>
      <c r="E19" s="720"/>
      <c r="F19" s="718" t="s">
        <v>1</v>
      </c>
      <c r="G19" s="718" t="s">
        <v>2450</v>
      </c>
      <c r="H19" s="673" t="s">
        <v>2971</v>
      </c>
      <c r="I19" s="672">
        <v>0</v>
      </c>
      <c r="J19" s="672">
        <v>0.16</v>
      </c>
      <c r="K19" s="672">
        <v>0.16</v>
      </c>
      <c r="L19" s="149" t="str">
        <f t="shared" si="0"/>
        <v>126D</v>
      </c>
      <c r="M19" s="150" t="str">
        <f t="shared" si="1"/>
        <v>AVRIL NB VENTE NEUF BMW CAMION</v>
      </c>
      <c r="N19" s="151">
        <f>+IF(OR($Q19=Parametres!$G$2,$Q19=Parametres!$G$3),I19,C19)</f>
        <v>0</v>
      </c>
      <c r="O19" s="151">
        <f>+IF(OR($Q19=Parametres!$G$2,$Q19=Parametres!$G$3),J19,D19)</f>
        <v>0.16</v>
      </c>
      <c r="P19" s="151">
        <f>+IF(OR($Q19=Parametres!$G$2,$Q19=Parametres!$G$3),K19,E19)</f>
        <v>0.16</v>
      </c>
      <c r="Q19" s="150" t="str">
        <f t="shared" si="2"/>
        <v>1-Mémo</v>
      </c>
      <c r="R19" s="149" t="str">
        <f t="shared" si="3"/>
        <v>126</v>
      </c>
      <c r="S19" s="150" t="str">
        <f t="shared" si="4"/>
        <v>_</v>
      </c>
      <c r="T19" s="152" t="str">
        <f>+VLOOKUP($L19,Data_Validation!$A:$D,1,0)</f>
        <v>126D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1279</v>
      </c>
      <c r="B20" s="718" t="s">
        <v>529</v>
      </c>
      <c r="C20" s="720"/>
      <c r="D20" s="720"/>
      <c r="E20" s="720"/>
      <c r="F20" s="718" t="s">
        <v>1</v>
      </c>
      <c r="G20" s="718" t="s">
        <v>2451</v>
      </c>
      <c r="H20" s="607" t="s">
        <v>2971</v>
      </c>
      <c r="I20" s="608">
        <v>0.13</v>
      </c>
      <c r="J20" s="608">
        <v>0</v>
      </c>
      <c r="K20" s="608">
        <v>0.13</v>
      </c>
      <c r="L20" s="149" t="str">
        <f t="shared" si="0"/>
        <v>127A</v>
      </c>
      <c r="M20" s="150" t="str">
        <f t="shared" si="1"/>
        <v>JANV. NB VENTE USAGE GROS</v>
      </c>
      <c r="N20" s="151">
        <f>+IF(OR($Q20=Parametres!$G$2,$Q20=Parametres!$G$3),I20,C20)</f>
        <v>0.13</v>
      </c>
      <c r="O20" s="151">
        <f>+IF(OR($Q20=Parametres!$G$2,$Q20=Parametres!$G$3),J20,D20)</f>
        <v>0</v>
      </c>
      <c r="P20" s="151">
        <f>+IF(OR($Q20=Parametres!$G$2,$Q20=Parametres!$G$3),K20,E20)</f>
        <v>0.13</v>
      </c>
      <c r="Q20" s="150" t="str">
        <f t="shared" si="2"/>
        <v>1-Mémo</v>
      </c>
      <c r="R20" s="149" t="str">
        <f t="shared" si="3"/>
        <v>127</v>
      </c>
      <c r="S20" s="150" t="str">
        <f t="shared" si="4"/>
        <v>_</v>
      </c>
      <c r="T20" s="152" t="str">
        <f>+VLOOKUP($L20,Data_Validation!$A:$D,1,0)</f>
        <v>127A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1280</v>
      </c>
      <c r="B21" s="718" t="s">
        <v>530</v>
      </c>
      <c r="C21" s="720"/>
      <c r="D21" s="720"/>
      <c r="E21" s="720"/>
      <c r="F21" s="718" t="s">
        <v>1</v>
      </c>
      <c r="G21" s="718" t="s">
        <v>2451</v>
      </c>
      <c r="H21" s="673" t="s">
        <v>2971</v>
      </c>
      <c r="I21" s="672">
        <v>0.15</v>
      </c>
      <c r="J21" s="672">
        <v>0</v>
      </c>
      <c r="K21" s="672">
        <v>0.15</v>
      </c>
      <c r="L21" s="149" t="str">
        <f t="shared" si="0"/>
        <v>127B</v>
      </c>
      <c r="M21" s="150" t="str">
        <f t="shared" si="1"/>
        <v>FEV. NB VENTE USAGE GROS</v>
      </c>
      <c r="N21" s="151">
        <f>+IF(OR($Q21=Parametres!$G$2,$Q21=Parametres!$G$3),I21,C21)</f>
        <v>0.15</v>
      </c>
      <c r="O21" s="151">
        <f>+IF(OR($Q21=Parametres!$G$2,$Q21=Parametres!$G$3),J21,D21)</f>
        <v>0</v>
      </c>
      <c r="P21" s="151">
        <f>+IF(OR($Q21=Parametres!$G$2,$Q21=Parametres!$G$3),K21,E21)</f>
        <v>0.15</v>
      </c>
      <c r="Q21" s="150" t="str">
        <f t="shared" si="2"/>
        <v>1-Mémo</v>
      </c>
      <c r="R21" s="149" t="str">
        <f t="shared" si="3"/>
        <v>127</v>
      </c>
      <c r="S21" s="150" t="str">
        <f t="shared" si="4"/>
        <v>_</v>
      </c>
      <c r="T21" s="152" t="str">
        <f>+VLOOKUP($L21,Data_Validation!$A:$D,1,0)</f>
        <v>127B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1281</v>
      </c>
      <c r="B22" s="718" t="s">
        <v>531</v>
      </c>
      <c r="C22" s="719"/>
      <c r="D22" s="719"/>
      <c r="E22" s="719"/>
      <c r="F22" s="718" t="s">
        <v>1</v>
      </c>
      <c r="G22" s="718" t="s">
        <v>2451</v>
      </c>
      <c r="H22" s="719" t="s">
        <v>2971</v>
      </c>
      <c r="I22" s="720">
        <v>0.12</v>
      </c>
      <c r="J22" s="720">
        <v>0</v>
      </c>
      <c r="K22" s="720">
        <v>0.12</v>
      </c>
      <c r="L22" s="149" t="str">
        <f t="shared" si="0"/>
        <v>127C</v>
      </c>
      <c r="M22" s="150" t="str">
        <f t="shared" si="1"/>
        <v>MARS NB VENTE USAGE GROS</v>
      </c>
      <c r="N22" s="151">
        <f>+IF(OR($Q22=Parametres!$G$2,$Q22=Parametres!$G$3),I22,C22)</f>
        <v>0.12</v>
      </c>
      <c r="O22" s="151">
        <f>+IF(OR($Q22=Parametres!$G$2,$Q22=Parametres!$G$3),J22,D22)</f>
        <v>0</v>
      </c>
      <c r="P22" s="151">
        <f>+IF(OR($Q22=Parametres!$G$2,$Q22=Parametres!$G$3),K22,E22)</f>
        <v>0.12</v>
      </c>
      <c r="Q22" s="150" t="str">
        <f t="shared" si="2"/>
        <v>1-Mémo</v>
      </c>
      <c r="R22" s="149" t="str">
        <f t="shared" si="3"/>
        <v>127</v>
      </c>
      <c r="S22" s="150" t="str">
        <f t="shared" si="4"/>
        <v>_</v>
      </c>
      <c r="T22" s="152" t="str">
        <f>+VLOOKUP($L22,Data_Validation!$A:$D,1,0)</f>
        <v>127C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1282</v>
      </c>
      <c r="B23" s="718" t="s">
        <v>532</v>
      </c>
      <c r="C23" s="720"/>
      <c r="D23" s="720"/>
      <c r="E23" s="720"/>
      <c r="F23" s="718" t="s">
        <v>1</v>
      </c>
      <c r="G23" s="718" t="s">
        <v>2451</v>
      </c>
      <c r="H23" s="673" t="s">
        <v>2971</v>
      </c>
      <c r="I23" s="672">
        <v>0</v>
      </c>
      <c r="J23" s="672">
        <v>0.15</v>
      </c>
      <c r="K23" s="672">
        <v>0.15</v>
      </c>
      <c r="L23" s="149" t="str">
        <f t="shared" si="0"/>
        <v>127D</v>
      </c>
      <c r="M23" s="150" t="str">
        <f t="shared" si="1"/>
        <v>AVRIL NB VENTE USAGE GROS</v>
      </c>
      <c r="N23" s="151">
        <f>+IF(OR($Q23=Parametres!$G$2,$Q23=Parametres!$G$3),I23,C23)</f>
        <v>0</v>
      </c>
      <c r="O23" s="151">
        <f>+IF(OR($Q23=Parametres!$G$2,$Q23=Parametres!$G$3),J23,D23)</f>
        <v>0.15</v>
      </c>
      <c r="P23" s="151">
        <f>+IF(OR($Q23=Parametres!$G$2,$Q23=Parametres!$G$3),K23,E23)</f>
        <v>0.15</v>
      </c>
      <c r="Q23" s="150" t="str">
        <f t="shared" si="2"/>
        <v>1-Mémo</v>
      </c>
      <c r="R23" s="149" t="str">
        <f t="shared" si="3"/>
        <v>127</v>
      </c>
      <c r="S23" s="150" t="str">
        <f t="shared" si="4"/>
        <v>_</v>
      </c>
      <c r="T23" s="152" t="str">
        <f>+VLOOKUP($L23,Data_Validation!$A:$D,1,0)</f>
        <v>127D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1290</v>
      </c>
      <c r="B24" s="718" t="s">
        <v>540</v>
      </c>
      <c r="C24" s="720"/>
      <c r="D24" s="720"/>
      <c r="E24" s="720"/>
      <c r="F24" s="718" t="s">
        <v>1</v>
      </c>
      <c r="G24" s="718" t="s">
        <v>573</v>
      </c>
      <c r="H24" s="673" t="s">
        <v>2971</v>
      </c>
      <c r="I24" s="673">
        <v>0.09</v>
      </c>
      <c r="J24" s="673">
        <v>0.01</v>
      </c>
      <c r="K24" s="673">
        <v>0.1</v>
      </c>
      <c r="L24" s="149" t="str">
        <f t="shared" si="0"/>
        <v>130D</v>
      </c>
      <c r="M24" s="150" t="str">
        <f t="shared" si="1"/>
        <v>NB INV + 30 JOURS USAGE BMW CAMION</v>
      </c>
      <c r="N24" s="151">
        <f>+IF(OR($Q24=Parametres!$G$2,$Q24=Parametres!$G$3),I24,C24)</f>
        <v>0.09</v>
      </c>
      <c r="O24" s="151">
        <f>+IF(OR($Q24=Parametres!$G$2,$Q24=Parametres!$G$3),J24,D24)</f>
        <v>0.01</v>
      </c>
      <c r="P24" s="151">
        <f>+IF(OR($Q24=Parametres!$G$2,$Q24=Parametres!$G$3),K24,E24)</f>
        <v>0.1</v>
      </c>
      <c r="Q24" s="150" t="str">
        <f t="shared" si="2"/>
        <v>1-Mémo</v>
      </c>
      <c r="R24" s="149" t="str">
        <f t="shared" si="3"/>
        <v>156</v>
      </c>
      <c r="S24" s="150" t="str">
        <f t="shared" si="4"/>
        <v>_</v>
      </c>
      <c r="T24" s="152" t="str">
        <f>+VLOOKUP($L24,Data_Validation!$A:$D,1,0)</f>
        <v>130D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1291</v>
      </c>
      <c r="B25" s="718" t="s">
        <v>541</v>
      </c>
      <c r="C25" s="720"/>
      <c r="D25" s="720"/>
      <c r="E25" s="720"/>
      <c r="F25" s="718" t="s">
        <v>1</v>
      </c>
      <c r="G25" s="718" t="s">
        <v>573</v>
      </c>
      <c r="H25" s="666" t="s">
        <v>2971</v>
      </c>
      <c r="I25" s="665">
        <v>0.35</v>
      </c>
      <c r="J25" s="665">
        <v>0.11</v>
      </c>
      <c r="K25" s="665">
        <v>0.46</v>
      </c>
      <c r="L25" s="149" t="str">
        <f t="shared" si="0"/>
        <v>130F</v>
      </c>
      <c r="M25" s="150" t="str">
        <f t="shared" si="1"/>
        <v>NB INV + 30 JOURS USAGE AUTRES</v>
      </c>
      <c r="N25" s="151">
        <f>+IF(OR($Q25=Parametres!$G$2,$Q25=Parametres!$G$3),I25,C25)</f>
        <v>0.35</v>
      </c>
      <c r="O25" s="151">
        <f>+IF(OR($Q25=Parametres!$G$2,$Q25=Parametres!$G$3),J25,D25)</f>
        <v>0.11</v>
      </c>
      <c r="P25" s="151">
        <f>+IF(OR($Q25=Parametres!$G$2,$Q25=Parametres!$G$3),K25,E25)</f>
        <v>0.46</v>
      </c>
      <c r="Q25" s="150" t="str">
        <f t="shared" si="2"/>
        <v>1-Mémo</v>
      </c>
      <c r="R25" s="149" t="str">
        <f t="shared" si="3"/>
        <v>156</v>
      </c>
      <c r="S25" s="150" t="str">
        <f t="shared" si="4"/>
        <v>_</v>
      </c>
      <c r="T25" s="152" t="str">
        <f>+VLOOKUP($L25,Data_Validation!$A:$D,1,0)</f>
        <v>130F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1292</v>
      </c>
      <c r="B26" s="718" t="s">
        <v>542</v>
      </c>
      <c r="C26" s="720"/>
      <c r="D26" s="720"/>
      <c r="E26" s="720"/>
      <c r="F26" s="718" t="s">
        <v>1</v>
      </c>
      <c r="G26" s="718" t="s">
        <v>542</v>
      </c>
      <c r="H26" s="673" t="s">
        <v>2971</v>
      </c>
      <c r="I26" s="672">
        <v>0.1</v>
      </c>
      <c r="J26" s="672">
        <v>0.02</v>
      </c>
      <c r="K26" s="672">
        <v>0.12</v>
      </c>
      <c r="L26" s="149" t="str">
        <f t="shared" si="0"/>
        <v>132B</v>
      </c>
      <c r="M26" s="150" t="str">
        <f t="shared" si="1"/>
        <v>NB INV USAGE BMW AUTO 31-60 JRS</v>
      </c>
      <c r="N26" s="151">
        <f>+IF(OR($Q26=Parametres!$G$2,$Q26=Parametres!$G$3),I26,C26)</f>
        <v>0.1</v>
      </c>
      <c r="O26" s="151">
        <f>+IF(OR($Q26=Parametres!$G$2,$Q26=Parametres!$G$3),J26,D26)</f>
        <v>0.02</v>
      </c>
      <c r="P26" s="151">
        <f>+IF(OR($Q26=Parametres!$G$2,$Q26=Parametres!$G$3),K26,E26)</f>
        <v>0.12</v>
      </c>
      <c r="Q26" s="150" t="str">
        <f t="shared" si="2"/>
        <v>1-Mémo</v>
      </c>
      <c r="R26" s="149" t="str">
        <f t="shared" si="3"/>
        <v>132B</v>
      </c>
      <c r="S26" s="150" t="str">
        <f t="shared" si="4"/>
        <v>_</v>
      </c>
      <c r="T26" s="152" t="str">
        <f>+VLOOKUP($L26,Data_Validation!$A:$D,1,0)</f>
        <v>132B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1293</v>
      </c>
      <c r="B27" s="718" t="s">
        <v>543</v>
      </c>
      <c r="C27" s="720"/>
      <c r="D27" s="720"/>
      <c r="E27" s="720"/>
      <c r="F27" s="718" t="s">
        <v>1</v>
      </c>
      <c r="G27" s="718" t="s">
        <v>542</v>
      </c>
      <c r="H27" s="673" t="s">
        <v>2971</v>
      </c>
      <c r="I27" s="672">
        <v>0.04</v>
      </c>
      <c r="J27" s="672">
        <v>0</v>
      </c>
      <c r="K27" s="672">
        <v>0.04</v>
      </c>
      <c r="L27" s="149" t="str">
        <f t="shared" si="0"/>
        <v>132C</v>
      </c>
      <c r="M27" s="150" t="str">
        <f t="shared" si="1"/>
        <v>NB INV USAGE BMW AUTO 61-90 JRS</v>
      </c>
      <c r="N27" s="151">
        <f>+IF(OR($Q27=Parametres!$G$2,$Q27=Parametres!$G$3),I27,C27)</f>
        <v>0.04</v>
      </c>
      <c r="O27" s="151">
        <f>+IF(OR($Q27=Parametres!$G$2,$Q27=Parametres!$G$3),J27,D27)</f>
        <v>0</v>
      </c>
      <c r="P27" s="151">
        <f>+IF(OR($Q27=Parametres!$G$2,$Q27=Parametres!$G$3),K27,E27)</f>
        <v>0.04</v>
      </c>
      <c r="Q27" s="150" t="str">
        <f t="shared" si="2"/>
        <v>1-Mémo</v>
      </c>
      <c r="R27" s="149" t="str">
        <f t="shared" si="3"/>
        <v>132B</v>
      </c>
      <c r="S27" s="150" t="str">
        <f t="shared" si="4"/>
        <v>_</v>
      </c>
      <c r="T27" s="152" t="str">
        <f>+VLOOKUP($L27,Data_Validation!$A:$D,1,0)</f>
        <v>132C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1294</v>
      </c>
      <c r="B28" s="671" t="s">
        <v>544</v>
      </c>
      <c r="C28" s="672"/>
      <c r="D28" s="672"/>
      <c r="E28" s="672"/>
      <c r="F28" s="671" t="s">
        <v>1</v>
      </c>
      <c r="G28" s="671" t="s">
        <v>542</v>
      </c>
      <c r="H28" s="666" t="s">
        <v>2971</v>
      </c>
      <c r="I28" s="665">
        <v>0.05</v>
      </c>
      <c r="J28" s="665">
        <v>0.01</v>
      </c>
      <c r="K28" s="665">
        <v>0.06</v>
      </c>
      <c r="L28" s="149" t="str">
        <f t="shared" si="0"/>
        <v>132D</v>
      </c>
      <c r="M28" s="150" t="str">
        <f t="shared" si="1"/>
        <v>NB INV USAGE BMW AUTO 91-120 JRS</v>
      </c>
      <c r="N28" s="151">
        <f>+IF(OR($Q28=Parametres!$G$2,$Q28=Parametres!$G$3),I28,C28)</f>
        <v>0.05</v>
      </c>
      <c r="O28" s="151">
        <f>+IF(OR($Q28=Parametres!$G$2,$Q28=Parametres!$G$3),J28,D28)</f>
        <v>0.01</v>
      </c>
      <c r="P28" s="151">
        <f>+IF(OR($Q28=Parametres!$G$2,$Q28=Parametres!$G$3),K28,E28)</f>
        <v>0.06</v>
      </c>
      <c r="Q28" s="150" t="str">
        <f t="shared" si="2"/>
        <v>1-Mémo</v>
      </c>
      <c r="R28" s="149" t="str">
        <f t="shared" si="3"/>
        <v>132B</v>
      </c>
      <c r="S28" s="150" t="str">
        <f t="shared" si="4"/>
        <v>_</v>
      </c>
      <c r="T28" s="152" t="str">
        <f>+VLOOKUP($L28,Data_Validation!$A:$D,1,0)</f>
        <v>132D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1296</v>
      </c>
      <c r="B29" s="718" t="s">
        <v>546</v>
      </c>
      <c r="C29" s="719"/>
      <c r="D29" s="719"/>
      <c r="E29" s="719"/>
      <c r="F29" s="718" t="s">
        <v>1</v>
      </c>
      <c r="G29" s="718" t="s">
        <v>546</v>
      </c>
      <c r="H29" s="719" t="s">
        <v>2971</v>
      </c>
      <c r="I29" s="720">
        <v>0.04</v>
      </c>
      <c r="J29" s="720">
        <v>0</v>
      </c>
      <c r="K29" s="720">
        <v>0.04</v>
      </c>
      <c r="L29" s="149" t="str">
        <f t="shared" si="0"/>
        <v>133B</v>
      </c>
      <c r="M29" s="150" t="str">
        <f t="shared" si="1"/>
        <v>NB INV USAGE BMW CAMION 31-60 JRS</v>
      </c>
      <c r="N29" s="151">
        <f>+IF(OR($Q29=Parametres!$G$2,$Q29=Parametres!$G$3),I29,C29)</f>
        <v>0.04</v>
      </c>
      <c r="O29" s="505">
        <f>+IF(OR($Q29=Parametres!$G$2,$Q29=Parametres!$G$3),J29,D29)</f>
        <v>0</v>
      </c>
      <c r="P29" s="151">
        <f>+IF(OR($Q29=Parametres!$G$2,$Q29=Parametres!$G$3),K29,E29)</f>
        <v>0.04</v>
      </c>
      <c r="Q29" s="150" t="str">
        <f t="shared" si="2"/>
        <v>1-Mémo</v>
      </c>
      <c r="R29" s="149" t="str">
        <f t="shared" si="3"/>
        <v>133B</v>
      </c>
      <c r="S29" s="150" t="str">
        <f t="shared" si="4"/>
        <v>_</v>
      </c>
      <c r="T29" s="152" t="str">
        <f>+VLOOKUP($L29,Data_Validation!$A:$D,1,0)</f>
        <v>133B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1297</v>
      </c>
      <c r="B30" s="718" t="s">
        <v>547</v>
      </c>
      <c r="C30" s="719"/>
      <c r="D30" s="719"/>
      <c r="E30" s="719"/>
      <c r="F30" s="718" t="s">
        <v>1</v>
      </c>
      <c r="G30" s="718" t="s">
        <v>546</v>
      </c>
      <c r="H30" s="719" t="s">
        <v>2971</v>
      </c>
      <c r="I30" s="720">
        <v>0.02</v>
      </c>
      <c r="J30" s="720">
        <v>0</v>
      </c>
      <c r="K30" s="720">
        <v>0.02</v>
      </c>
      <c r="L30" s="149" t="str">
        <f t="shared" si="0"/>
        <v>133C</v>
      </c>
      <c r="M30" s="150" t="str">
        <f t="shared" si="1"/>
        <v>NB INV USAGE BMW CAMION 61-90 JRS</v>
      </c>
      <c r="N30" s="151">
        <f>+IF(OR($Q30=Parametres!$G$2,$Q30=Parametres!$G$3),I30,C30)</f>
        <v>0.02</v>
      </c>
      <c r="O30" s="504">
        <f>+IF(OR($Q30=Parametres!$G$2,$Q30=Parametres!$G$3),J30,D30)</f>
        <v>0</v>
      </c>
      <c r="P30" s="151">
        <f>+IF(OR($Q30=Parametres!$G$2,$Q30=Parametres!$G$3),K30,E30)</f>
        <v>0.02</v>
      </c>
      <c r="Q30" s="150" t="str">
        <f t="shared" si="2"/>
        <v>1-Mémo</v>
      </c>
      <c r="R30" s="149" t="str">
        <f t="shared" si="3"/>
        <v>133B</v>
      </c>
      <c r="S30" s="150" t="str">
        <f t="shared" si="4"/>
        <v>_</v>
      </c>
      <c r="T30" s="152" t="str">
        <f>+VLOOKUP($L30,Data_Validation!$A:$D,1,0)</f>
        <v>133C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1298</v>
      </c>
      <c r="B31" s="718" t="s">
        <v>548</v>
      </c>
      <c r="C31" s="720"/>
      <c r="D31" s="720"/>
      <c r="E31" s="720"/>
      <c r="F31" s="718" t="s">
        <v>1</v>
      </c>
      <c r="G31" s="718" t="s">
        <v>546</v>
      </c>
      <c r="H31" s="609" t="s">
        <v>2971</v>
      </c>
      <c r="I31" s="608">
        <v>0.02</v>
      </c>
      <c r="J31" s="608">
        <v>0</v>
      </c>
      <c r="K31" s="608">
        <v>0.02</v>
      </c>
      <c r="L31" s="149" t="str">
        <f t="shared" si="0"/>
        <v>133D</v>
      </c>
      <c r="M31" s="150" t="str">
        <f t="shared" si="1"/>
        <v>NB INV USAGE BMW CAMION 91-120 JRS</v>
      </c>
      <c r="N31" s="151">
        <f>+IF(OR($Q31=Parametres!$G$2,$Q31=Parametres!$G$3),I31,C31)</f>
        <v>0.02</v>
      </c>
      <c r="O31" s="151">
        <f>+IF(OR($Q31=Parametres!$G$2,$Q31=Parametres!$G$3),J31,D31)</f>
        <v>0</v>
      </c>
      <c r="P31" s="151">
        <f>+IF(OR($Q31=Parametres!$G$2,$Q31=Parametres!$G$3),K31,E31)</f>
        <v>0.02</v>
      </c>
      <c r="Q31" s="150" t="str">
        <f t="shared" si="2"/>
        <v>1-Mémo</v>
      </c>
      <c r="R31" s="149" t="str">
        <f t="shared" si="3"/>
        <v>133B</v>
      </c>
      <c r="S31" s="150" t="str">
        <f t="shared" si="4"/>
        <v>_</v>
      </c>
      <c r="T31" s="152" t="str">
        <f>+VLOOKUP($L31,Data_Validation!$A:$D,1,0)</f>
        <v>133D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1299</v>
      </c>
      <c r="B32" s="718" t="s">
        <v>549</v>
      </c>
      <c r="C32" s="720"/>
      <c r="D32" s="720"/>
      <c r="E32" s="720"/>
      <c r="F32" s="718" t="s">
        <v>1</v>
      </c>
      <c r="G32" s="718" t="s">
        <v>546</v>
      </c>
      <c r="H32" s="666" t="s">
        <v>2971</v>
      </c>
      <c r="I32" s="665">
        <v>0.01</v>
      </c>
      <c r="J32" s="665">
        <v>0.01</v>
      </c>
      <c r="K32" s="665">
        <v>0.02</v>
      </c>
      <c r="L32" s="149" t="str">
        <f t="shared" si="0"/>
        <v>133E</v>
      </c>
      <c r="M32" s="150" t="str">
        <f t="shared" si="1"/>
        <v>NB INV USAGE BMW CAMION 120+ JRS</v>
      </c>
      <c r="N32" s="151">
        <f>+IF(OR($Q32=Parametres!$G$2,$Q32=Parametres!$G$3),I32,C32)</f>
        <v>0.01</v>
      </c>
      <c r="O32" s="151">
        <f>+IF(OR($Q32=Parametres!$G$2,$Q32=Parametres!$G$3),J32,D32)</f>
        <v>0.01</v>
      </c>
      <c r="P32" s="151">
        <f>+IF(OR($Q32=Parametres!$G$2,$Q32=Parametres!$G$3),K32,E32)</f>
        <v>0.02</v>
      </c>
      <c r="Q32" s="150" t="str">
        <f t="shared" si="2"/>
        <v>1-Mémo</v>
      </c>
      <c r="R32" s="149" t="str">
        <f t="shared" si="3"/>
        <v>133B</v>
      </c>
      <c r="S32" s="150" t="str">
        <f t="shared" si="4"/>
        <v>_</v>
      </c>
      <c r="T32" s="152" t="str">
        <f>+VLOOKUP($L32,Data_Validation!$A:$D,1,0)</f>
        <v>133E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1300</v>
      </c>
      <c r="B33" s="718" t="s">
        <v>550</v>
      </c>
      <c r="C33" s="720"/>
      <c r="D33" s="720"/>
      <c r="E33" s="720"/>
      <c r="F33" s="718" t="s">
        <v>1</v>
      </c>
      <c r="G33" s="718" t="s">
        <v>550</v>
      </c>
      <c r="H33" s="673" t="s">
        <v>2971</v>
      </c>
      <c r="I33" s="672">
        <v>0.14000000000000001</v>
      </c>
      <c r="J33" s="672">
        <v>0.05</v>
      </c>
      <c r="K33" s="672">
        <v>0.19</v>
      </c>
      <c r="L33" s="149" t="str">
        <f t="shared" si="0"/>
        <v>138B</v>
      </c>
      <c r="M33" s="150" t="str">
        <f t="shared" si="1"/>
        <v>NB INV USAGE AUTRE 31-60 JRS</v>
      </c>
      <c r="N33" s="151">
        <f>+IF(OR($Q33=Parametres!$G$2,$Q33=Parametres!$G$3),I33,C33)</f>
        <v>0.14000000000000001</v>
      </c>
      <c r="O33" s="151">
        <f>+IF(OR($Q33=Parametres!$G$2,$Q33=Parametres!$G$3),J33,D33)</f>
        <v>0.05</v>
      </c>
      <c r="P33" s="151">
        <f>+IF(OR($Q33=Parametres!$G$2,$Q33=Parametres!$G$3),K33,E33)</f>
        <v>0.19</v>
      </c>
      <c r="Q33" s="150" t="str">
        <f t="shared" si="2"/>
        <v>1-Mémo</v>
      </c>
      <c r="R33" s="149" t="str">
        <f t="shared" si="3"/>
        <v>138B</v>
      </c>
      <c r="S33" s="150" t="str">
        <f t="shared" si="4"/>
        <v>_</v>
      </c>
      <c r="T33" s="152" t="str">
        <f>+VLOOKUP($L33,Data_Validation!$A:$D,1,0)</f>
        <v>138B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1301</v>
      </c>
      <c r="B34" s="718" t="s">
        <v>551</v>
      </c>
      <c r="C34" s="720"/>
      <c r="D34" s="720"/>
      <c r="E34" s="720"/>
      <c r="F34" s="718" t="s">
        <v>1</v>
      </c>
      <c r="G34" s="718" t="s">
        <v>550</v>
      </c>
      <c r="H34" s="673" t="s">
        <v>2971</v>
      </c>
      <c r="I34" s="672">
        <v>0.09</v>
      </c>
      <c r="J34" s="672">
        <v>0.02</v>
      </c>
      <c r="K34" s="672">
        <v>0.11</v>
      </c>
      <c r="L34" s="149" t="str">
        <f t="shared" si="0"/>
        <v>138C</v>
      </c>
      <c r="M34" s="150" t="str">
        <f t="shared" si="1"/>
        <v>NB INV USAGE AUTRE 61-90 JRS</v>
      </c>
      <c r="N34" s="151">
        <f>+IF(OR($Q34=Parametres!$G$2,$Q34=Parametres!$G$3),I34,C34)</f>
        <v>0.09</v>
      </c>
      <c r="O34" s="151">
        <f>+IF(OR($Q34=Parametres!$G$2,$Q34=Parametres!$G$3),J34,D34)</f>
        <v>0.02</v>
      </c>
      <c r="P34" s="151">
        <f>+IF(OR($Q34=Parametres!$G$2,$Q34=Parametres!$G$3),K34,E34)</f>
        <v>0.11</v>
      </c>
      <c r="Q34" s="150" t="str">
        <f t="shared" si="2"/>
        <v>1-Mémo</v>
      </c>
      <c r="R34" s="149" t="str">
        <f t="shared" si="3"/>
        <v>138B</v>
      </c>
      <c r="S34" s="150" t="str">
        <f t="shared" si="4"/>
        <v>_</v>
      </c>
      <c r="T34" s="152" t="str">
        <f>+VLOOKUP($L34,Data_Validation!$A:$D,1,0)</f>
        <v>138C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1302</v>
      </c>
      <c r="B35" s="718" t="s">
        <v>552</v>
      </c>
      <c r="C35" s="720"/>
      <c r="D35" s="720"/>
      <c r="E35" s="720"/>
      <c r="F35" s="718" t="s">
        <v>1</v>
      </c>
      <c r="G35" s="718" t="s">
        <v>550</v>
      </c>
      <c r="H35" s="666" t="s">
        <v>2971</v>
      </c>
      <c r="I35" s="665">
        <v>0.03</v>
      </c>
      <c r="J35" s="665">
        <v>0.03</v>
      </c>
      <c r="K35" s="665">
        <v>0.06</v>
      </c>
      <c r="L35" s="149" t="str">
        <f t="shared" si="0"/>
        <v>138D</v>
      </c>
      <c r="M35" s="150" t="str">
        <f t="shared" si="1"/>
        <v>NB INV USAGE AUTRE 91-120 JRS</v>
      </c>
      <c r="N35" s="151">
        <f>+IF(OR($Q35=Parametres!$G$2,$Q35=Parametres!$G$3),I35,C35)</f>
        <v>0.03</v>
      </c>
      <c r="O35" s="151">
        <f>+IF(OR($Q35=Parametres!$G$2,$Q35=Parametres!$G$3),J35,D35)</f>
        <v>0.03</v>
      </c>
      <c r="P35" s="151">
        <f>+IF(OR($Q35=Parametres!$G$2,$Q35=Parametres!$G$3),K35,E35)</f>
        <v>0.06</v>
      </c>
      <c r="Q35" s="150" t="str">
        <f t="shared" si="2"/>
        <v>1-Mémo</v>
      </c>
      <c r="R35" s="149" t="str">
        <f t="shared" si="3"/>
        <v>138B</v>
      </c>
      <c r="S35" s="150" t="str">
        <f t="shared" si="4"/>
        <v>_</v>
      </c>
      <c r="T35" s="152" t="str">
        <f>+VLOOKUP($L35,Data_Validation!$A:$D,1,0)</f>
        <v>138D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1303</v>
      </c>
      <c r="B36" s="718" t="s">
        <v>1304</v>
      </c>
      <c r="C36" s="720"/>
      <c r="D36" s="720"/>
      <c r="E36" s="720"/>
      <c r="F36" s="718" t="s">
        <v>1</v>
      </c>
      <c r="G36" s="718" t="s">
        <v>550</v>
      </c>
      <c r="H36" s="673" t="s">
        <v>2971</v>
      </c>
      <c r="I36" s="672">
        <v>0.09</v>
      </c>
      <c r="J36" s="672">
        <v>0.01</v>
      </c>
      <c r="K36" s="672">
        <v>0.1</v>
      </c>
      <c r="L36" s="149" t="str">
        <f t="shared" si="0"/>
        <v>138E</v>
      </c>
      <c r="M36" s="150" t="str">
        <f t="shared" si="1"/>
        <v>NB INV USAGE AUTRE 120+ JRS</v>
      </c>
      <c r="N36" s="151">
        <f>+IF(OR($Q36=Parametres!$G$2,$Q36=Parametres!$G$3),I36,C36)</f>
        <v>0.09</v>
      </c>
      <c r="O36" s="151">
        <f>+IF(OR($Q36=Parametres!$G$2,$Q36=Parametres!$G$3),J36,D36)</f>
        <v>0.01</v>
      </c>
      <c r="P36" s="151">
        <f>+IF(OR($Q36=Parametres!$G$2,$Q36=Parametres!$G$3),K36,E36)</f>
        <v>0.1</v>
      </c>
      <c r="Q36" s="150" t="str">
        <f t="shared" si="2"/>
        <v>1-Mémo</v>
      </c>
      <c r="R36" s="149" t="str">
        <f t="shared" si="3"/>
        <v>138B</v>
      </c>
      <c r="S36" s="150" t="str">
        <f t="shared" si="4"/>
        <v>_</v>
      </c>
      <c r="T36" s="152" t="str">
        <f>+VLOOKUP($L36,Data_Validation!$A:$D,1,0)</f>
        <v>138E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1305</v>
      </c>
      <c r="B37" s="718" t="s">
        <v>553</v>
      </c>
      <c r="C37" s="720"/>
      <c r="D37" s="720"/>
      <c r="E37" s="720"/>
      <c r="F37" s="718" t="s">
        <v>1</v>
      </c>
      <c r="G37" s="718" t="s">
        <v>553</v>
      </c>
      <c r="H37" s="666" t="s">
        <v>2971</v>
      </c>
      <c r="I37" s="665">
        <v>138999</v>
      </c>
      <c r="J37" s="665">
        <v>0</v>
      </c>
      <c r="K37" s="665">
        <v>138999</v>
      </c>
      <c r="L37" s="149" t="str">
        <f t="shared" si="0"/>
        <v>141B</v>
      </c>
      <c r="M37" s="150" t="str">
        <f t="shared" si="1"/>
        <v>$ INV USAGE BMW CAMION 31-60 JRS</v>
      </c>
      <c r="N37" s="151">
        <f>+IF(OR($Q37=Parametres!$G$2,$Q37=Parametres!$G$3),I37,C37)</f>
        <v>138999</v>
      </c>
      <c r="O37" s="151">
        <f>+IF(OR($Q37=Parametres!$G$2,$Q37=Parametres!$G$3),J37,D37)</f>
        <v>0</v>
      </c>
      <c r="P37" s="151">
        <f>+IF(OR($Q37=Parametres!$G$2,$Q37=Parametres!$G$3),K37,E37)</f>
        <v>138999</v>
      </c>
      <c r="Q37" s="150" t="str">
        <f t="shared" si="2"/>
        <v>1-Mémo</v>
      </c>
      <c r="R37" s="149" t="str">
        <f t="shared" si="3"/>
        <v>141B</v>
      </c>
      <c r="S37" s="150" t="str">
        <f t="shared" si="4"/>
        <v>_</v>
      </c>
      <c r="T37" s="152" t="str">
        <f>+VLOOKUP($L37,Data_Validation!$A:$D,1,0)</f>
        <v>141B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1306</v>
      </c>
      <c r="B38" s="718" t="s">
        <v>554</v>
      </c>
      <c r="C38" s="720"/>
      <c r="D38" s="720"/>
      <c r="E38" s="720"/>
      <c r="F38" s="718" t="s">
        <v>1</v>
      </c>
      <c r="G38" s="718" t="s">
        <v>553</v>
      </c>
      <c r="H38" s="719" t="s">
        <v>2971</v>
      </c>
      <c r="I38" s="719">
        <v>107495</v>
      </c>
      <c r="J38" s="719">
        <v>0</v>
      </c>
      <c r="K38" s="719">
        <v>107495</v>
      </c>
      <c r="L38" s="149" t="str">
        <f t="shared" si="0"/>
        <v>141C</v>
      </c>
      <c r="M38" s="150" t="str">
        <f t="shared" si="1"/>
        <v>$ INV USAGE BMW CAMION 61-90 JRS</v>
      </c>
      <c r="N38" s="151">
        <f>+IF(OR($Q38=Parametres!$G$2,$Q38=Parametres!$G$3),I38,C38)</f>
        <v>107495</v>
      </c>
      <c r="O38" s="151">
        <f>+IF(OR($Q38=Parametres!$G$2,$Q38=Parametres!$G$3),J38,D38)</f>
        <v>0</v>
      </c>
      <c r="P38" s="151">
        <f>+IF(OR($Q38=Parametres!$G$2,$Q38=Parametres!$G$3),K38,E38)</f>
        <v>107495</v>
      </c>
      <c r="Q38" s="150" t="str">
        <f t="shared" si="2"/>
        <v>1-Mémo</v>
      </c>
      <c r="R38" s="149" t="str">
        <f t="shared" si="3"/>
        <v>141B</v>
      </c>
      <c r="S38" s="150" t="str">
        <f t="shared" si="4"/>
        <v>_</v>
      </c>
      <c r="T38" s="152" t="str">
        <f>+VLOOKUP($L38,Data_Validation!$A:$D,1,0)</f>
        <v>141C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1307</v>
      </c>
      <c r="B39" s="718" t="s">
        <v>555</v>
      </c>
      <c r="C39" s="720"/>
      <c r="D39" s="720"/>
      <c r="E39" s="720"/>
      <c r="F39" s="718" t="s">
        <v>1</v>
      </c>
      <c r="G39" s="718" t="s">
        <v>553</v>
      </c>
      <c r="H39" s="673" t="s">
        <v>2971</v>
      </c>
      <c r="I39" s="672">
        <v>83485</v>
      </c>
      <c r="J39" s="672">
        <v>0</v>
      </c>
      <c r="K39" s="672">
        <v>83485</v>
      </c>
      <c r="L39" s="149" t="str">
        <f t="shared" si="0"/>
        <v>141D</v>
      </c>
      <c r="M39" s="150" t="str">
        <f t="shared" si="1"/>
        <v>$ INV USAGE BMW CAMION 91-120 JRS</v>
      </c>
      <c r="N39" s="151">
        <f>+IF(OR($Q39=Parametres!$G$2,$Q39=Parametres!$G$3),I39,C39)</f>
        <v>83485</v>
      </c>
      <c r="O39" s="504">
        <f>+IF(OR($Q39=Parametres!$G$2,$Q39=Parametres!$G$3),J39,D39)</f>
        <v>0</v>
      </c>
      <c r="P39" s="151">
        <f>+IF(OR($Q39=Parametres!$G$2,$Q39=Parametres!$G$3),K39,E39)</f>
        <v>83485</v>
      </c>
      <c r="Q39" s="150" t="str">
        <f t="shared" si="2"/>
        <v>1-Mémo</v>
      </c>
      <c r="R39" s="149" t="str">
        <f t="shared" si="3"/>
        <v>141B</v>
      </c>
      <c r="S39" s="150" t="str">
        <f t="shared" si="4"/>
        <v>_</v>
      </c>
      <c r="T39" s="152" t="str">
        <f>+VLOOKUP($L39,Data_Validation!$A:$D,1,0)</f>
        <v>141D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1308</v>
      </c>
      <c r="B40" s="718" t="s">
        <v>556</v>
      </c>
      <c r="C40" s="720"/>
      <c r="D40" s="720"/>
      <c r="E40" s="720"/>
      <c r="F40" s="718" t="s">
        <v>1</v>
      </c>
      <c r="G40" s="718" t="s">
        <v>553</v>
      </c>
      <c r="H40" s="673" t="s">
        <v>2971</v>
      </c>
      <c r="I40" s="673">
        <v>44657</v>
      </c>
      <c r="J40" s="673">
        <v>44657</v>
      </c>
      <c r="K40" s="673">
        <v>89314</v>
      </c>
      <c r="L40" s="149" t="str">
        <f t="shared" si="0"/>
        <v>141E</v>
      </c>
      <c r="M40" s="150" t="str">
        <f t="shared" si="1"/>
        <v>$ INV USAGE BMW CAMION 120+ JRS</v>
      </c>
      <c r="N40" s="151">
        <f>+IF(OR($Q40=Parametres!$G$2,$Q40=Parametres!$G$3),I40,C40)</f>
        <v>44657</v>
      </c>
      <c r="O40" s="504">
        <f>+IF(OR($Q40=Parametres!$G$2,$Q40=Parametres!$G$3),J40,D40)</f>
        <v>44657</v>
      </c>
      <c r="P40" s="151">
        <f>+IF(OR($Q40=Parametres!$G$2,$Q40=Parametres!$G$3),K40,E40)</f>
        <v>89314</v>
      </c>
      <c r="Q40" s="150" t="str">
        <f t="shared" si="2"/>
        <v>1-Mémo</v>
      </c>
      <c r="R40" s="149" t="str">
        <f t="shared" si="3"/>
        <v>141B</v>
      </c>
      <c r="S40" s="150" t="str">
        <f t="shared" si="4"/>
        <v>_</v>
      </c>
      <c r="T40" s="152" t="str">
        <f>+VLOOKUP($L40,Data_Validation!$A:$D,1,0)</f>
        <v>141E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1309</v>
      </c>
      <c r="B41" s="718" t="s">
        <v>557</v>
      </c>
      <c r="C41" s="720"/>
      <c r="D41" s="720"/>
      <c r="E41" s="720"/>
      <c r="F41" s="718" t="s">
        <v>1</v>
      </c>
      <c r="G41" s="718" t="s">
        <v>2452</v>
      </c>
      <c r="H41" s="666" t="s">
        <v>2971</v>
      </c>
      <c r="I41" s="665">
        <v>1523</v>
      </c>
      <c r="J41" s="665">
        <v>1054</v>
      </c>
      <c r="K41" s="665">
        <v>2577</v>
      </c>
      <c r="L41" s="149" t="str">
        <f t="shared" si="0"/>
        <v>142B</v>
      </c>
      <c r="M41" s="150" t="str">
        <f t="shared" si="1"/>
        <v>A/R VEHICULES 31-60 JRS</v>
      </c>
      <c r="N41" s="151">
        <f>+IF(OR($Q41=Parametres!$G$2,$Q41=Parametres!$G$3),I41,C41)</f>
        <v>1523</v>
      </c>
      <c r="O41" s="504">
        <f>+IF(OR($Q41=Parametres!$G$2,$Q41=Parametres!$G$3),J41,D41)</f>
        <v>1054</v>
      </c>
      <c r="P41" s="151">
        <f>+IF(OR($Q41=Parametres!$G$2,$Q41=Parametres!$G$3),K41,E41)</f>
        <v>2577</v>
      </c>
      <c r="Q41" s="150" t="str">
        <f t="shared" si="2"/>
        <v>1-Mémo</v>
      </c>
      <c r="R41" s="149" t="str">
        <f t="shared" si="3"/>
        <v>142</v>
      </c>
      <c r="S41" s="150" t="str">
        <f t="shared" si="4"/>
        <v>_</v>
      </c>
      <c r="T41" s="152" t="str">
        <f>+VLOOKUP($L41,Data_Validation!$A:$D,1,0)</f>
        <v>142B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1310</v>
      </c>
      <c r="B42" s="718" t="s">
        <v>558</v>
      </c>
      <c r="C42" s="720"/>
      <c r="D42" s="720"/>
      <c r="E42" s="720"/>
      <c r="F42" s="718" t="s">
        <v>1</v>
      </c>
      <c r="G42" s="718" t="s">
        <v>2452</v>
      </c>
      <c r="H42" s="607" t="s">
        <v>2971</v>
      </c>
      <c r="I42" s="153">
        <v>1219</v>
      </c>
      <c r="J42" s="153">
        <v>0</v>
      </c>
      <c r="K42" s="153">
        <v>1219</v>
      </c>
      <c r="L42" s="149" t="str">
        <f t="shared" si="0"/>
        <v>142C</v>
      </c>
      <c r="M42" s="150" t="str">
        <f t="shared" si="1"/>
        <v>A/R VEHICULES 61-90 JRS</v>
      </c>
      <c r="N42" s="151">
        <f>+IF(OR($Q42=Parametres!$G$2,$Q42=Parametres!$G$3),I42,C42)</f>
        <v>1219</v>
      </c>
      <c r="O42" s="151">
        <f>+IF(OR($Q42=Parametres!$G$2,$Q42=Parametres!$G$3),J42,D42)</f>
        <v>0</v>
      </c>
      <c r="P42" s="151">
        <f>+IF(OR($Q42=Parametres!$G$2,$Q42=Parametres!$G$3),K42,E42)</f>
        <v>1219</v>
      </c>
      <c r="Q42" s="150" t="str">
        <f t="shared" si="2"/>
        <v>1-Mémo</v>
      </c>
      <c r="R42" s="149" t="str">
        <f t="shared" si="3"/>
        <v>142</v>
      </c>
      <c r="S42" s="150" t="str">
        <f t="shared" si="4"/>
        <v>_</v>
      </c>
      <c r="T42" s="152" t="str">
        <f>+VLOOKUP($L42,Data_Validation!$A:$D,1,0)</f>
        <v>142C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1311</v>
      </c>
      <c r="B43" s="718" t="s">
        <v>559</v>
      </c>
      <c r="C43" s="720"/>
      <c r="D43" s="720"/>
      <c r="E43" s="720"/>
      <c r="F43" s="718" t="s">
        <v>1</v>
      </c>
      <c r="G43" s="718" t="s">
        <v>2452</v>
      </c>
      <c r="H43" s="673" t="s">
        <v>2971</v>
      </c>
      <c r="I43" s="673">
        <v>1219</v>
      </c>
      <c r="J43" s="673">
        <v>0</v>
      </c>
      <c r="K43" s="673">
        <v>1219</v>
      </c>
      <c r="L43" s="149" t="str">
        <f t="shared" si="0"/>
        <v>142D</v>
      </c>
      <c r="M43" s="150" t="str">
        <f t="shared" si="1"/>
        <v>A/R VEHICULES 91-120 JRS</v>
      </c>
      <c r="N43" s="151">
        <f>+IF(OR($Q43=Parametres!$G$2,$Q43=Parametres!$G$3),I43,C43)</f>
        <v>1219</v>
      </c>
      <c r="O43" s="151">
        <f>+IF(OR($Q43=Parametres!$G$2,$Q43=Parametres!$G$3),J43,D43)</f>
        <v>0</v>
      </c>
      <c r="P43" s="151">
        <f>+IF(OR($Q43=Parametres!$G$2,$Q43=Parametres!$G$3),K43,E43)</f>
        <v>1219</v>
      </c>
      <c r="Q43" s="150" t="str">
        <f t="shared" si="2"/>
        <v>1-Mémo</v>
      </c>
      <c r="R43" s="149" t="str">
        <f t="shared" si="3"/>
        <v>142</v>
      </c>
      <c r="S43" s="150" t="str">
        <f t="shared" si="4"/>
        <v>_</v>
      </c>
      <c r="T43" s="152" t="str">
        <f>+VLOOKUP($L43,Data_Validation!$A:$D,1,0)</f>
        <v>142D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1313</v>
      </c>
      <c r="B44" s="718" t="s">
        <v>561</v>
      </c>
      <c r="C44" s="720"/>
      <c r="D44" s="720"/>
      <c r="E44" s="720"/>
      <c r="F44" s="718" t="s">
        <v>1</v>
      </c>
      <c r="G44" s="718" t="s">
        <v>2484</v>
      </c>
      <c r="H44" s="673" t="s">
        <v>2971</v>
      </c>
      <c r="I44" s="673">
        <v>16971</v>
      </c>
      <c r="J44" s="673">
        <v>0</v>
      </c>
      <c r="K44" s="673">
        <v>16971</v>
      </c>
      <c r="L44" s="149" t="str">
        <f t="shared" si="0"/>
        <v>143B</v>
      </c>
      <c r="M44" s="150" t="str">
        <f t="shared" si="1"/>
        <v>A/R GARANTIE BMW 31-60 JRS</v>
      </c>
      <c r="N44" s="151">
        <f>+IF(OR($Q44=Parametres!$G$2,$Q44=Parametres!$G$3),I44,C44)</f>
        <v>16971</v>
      </c>
      <c r="O44" s="504">
        <f>+IF(OR($Q44=Parametres!$G$2,$Q44=Parametres!$G$3),J44,D44)</f>
        <v>0</v>
      </c>
      <c r="P44" s="151">
        <f>+IF(OR($Q44=Parametres!$G$2,$Q44=Parametres!$G$3),K44,E44)</f>
        <v>16971</v>
      </c>
      <c r="Q44" s="150" t="str">
        <f t="shared" si="2"/>
        <v>1-Mémo</v>
      </c>
      <c r="R44" s="149" t="str">
        <f t="shared" si="3"/>
        <v>143</v>
      </c>
      <c r="S44" s="150" t="str">
        <f t="shared" si="4"/>
        <v>_</v>
      </c>
      <c r="T44" s="152" t="str">
        <f>+VLOOKUP($L44,Data_Validation!$A:$D,1,0)</f>
        <v>143B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1315</v>
      </c>
      <c r="B45" s="718" t="s">
        <v>563</v>
      </c>
      <c r="C45" s="720"/>
      <c r="D45" s="720"/>
      <c r="E45" s="720"/>
      <c r="F45" s="718" t="s">
        <v>1</v>
      </c>
      <c r="G45" s="718" t="s">
        <v>2484</v>
      </c>
      <c r="H45" s="673" t="s">
        <v>2971</v>
      </c>
      <c r="I45" s="672">
        <v>276</v>
      </c>
      <c r="J45" s="672">
        <v>0</v>
      </c>
      <c r="K45" s="672">
        <v>276</v>
      </c>
      <c r="L45" s="149" t="str">
        <f t="shared" si="0"/>
        <v>143D</v>
      </c>
      <c r="M45" s="150" t="str">
        <f t="shared" si="1"/>
        <v>A/R GARANTIE BMW 91-120 JRS</v>
      </c>
      <c r="N45" s="151">
        <f>+IF(OR($Q45=Parametres!$G$2,$Q45=Parametres!$G$3),I45,C45)</f>
        <v>276</v>
      </c>
      <c r="O45" s="151">
        <f>+IF(OR($Q45=Parametres!$G$2,$Q45=Parametres!$G$3),J45,D45)</f>
        <v>0</v>
      </c>
      <c r="P45" s="151">
        <f>+IF(OR($Q45=Parametres!$G$2,$Q45=Parametres!$G$3),K45,E45)</f>
        <v>276</v>
      </c>
      <c r="Q45" s="150" t="str">
        <f t="shared" si="2"/>
        <v>1-Mémo</v>
      </c>
      <c r="R45" s="149" t="str">
        <f t="shared" si="3"/>
        <v>143</v>
      </c>
      <c r="S45" s="150" t="str">
        <f t="shared" si="4"/>
        <v>_</v>
      </c>
      <c r="T45" s="152" t="str">
        <f>+VLOOKUP($L45,Data_Validation!$A:$D,1,0)</f>
        <v>143D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1316</v>
      </c>
      <c r="B46" s="718" t="s">
        <v>564</v>
      </c>
      <c r="C46" s="720"/>
      <c r="D46" s="720"/>
      <c r="E46" s="720"/>
      <c r="F46" s="718" t="s">
        <v>1</v>
      </c>
      <c r="G46" s="718" t="s">
        <v>2453</v>
      </c>
      <c r="H46" s="673" t="s">
        <v>2971</v>
      </c>
      <c r="I46" s="672">
        <v>42493</v>
      </c>
      <c r="J46" s="672">
        <v>19988</v>
      </c>
      <c r="K46" s="672">
        <v>62481</v>
      </c>
      <c r="L46" s="149" t="str">
        <f t="shared" si="0"/>
        <v>144B</v>
      </c>
      <c r="M46" s="150" t="str">
        <f t="shared" si="1"/>
        <v>A/R PIECES+SERVICE 31-60 JRS</v>
      </c>
      <c r="N46" s="151">
        <f>+IF(OR($Q46=Parametres!$G$2,$Q46=Parametres!$G$3),I46,C46)</f>
        <v>42493</v>
      </c>
      <c r="O46" s="151">
        <f>+IF(OR($Q46=Parametres!$G$2,$Q46=Parametres!$G$3),J46,D46)</f>
        <v>19988</v>
      </c>
      <c r="P46" s="151">
        <f>+IF(OR($Q46=Parametres!$G$2,$Q46=Parametres!$G$3),K46,E46)</f>
        <v>62481</v>
      </c>
      <c r="Q46" s="150" t="str">
        <f t="shared" si="2"/>
        <v>1-Mémo</v>
      </c>
      <c r="R46" s="149" t="str">
        <f t="shared" si="3"/>
        <v>144</v>
      </c>
      <c r="S46" s="150" t="str">
        <f t="shared" si="4"/>
        <v>_</v>
      </c>
      <c r="T46" s="152" t="str">
        <f>+VLOOKUP($L46,Data_Validation!$A:$D,1,0)</f>
        <v>144B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1317</v>
      </c>
      <c r="B47" s="718" t="s">
        <v>565</v>
      </c>
      <c r="C47" s="720"/>
      <c r="D47" s="720"/>
      <c r="E47" s="720"/>
      <c r="F47" s="718" t="s">
        <v>1</v>
      </c>
      <c r="G47" s="718" t="s">
        <v>2453</v>
      </c>
      <c r="H47" s="673" t="s">
        <v>2971</v>
      </c>
      <c r="I47" s="673">
        <v>10749</v>
      </c>
      <c r="J47" s="673">
        <v>3146</v>
      </c>
      <c r="K47" s="673">
        <v>13895</v>
      </c>
      <c r="L47" s="149" t="str">
        <f t="shared" si="0"/>
        <v>144C</v>
      </c>
      <c r="M47" s="150" t="str">
        <f t="shared" si="1"/>
        <v>A/R PIECES+SERVICE 61-90 JRS</v>
      </c>
      <c r="N47" s="151">
        <f>+IF(OR($Q47=Parametres!$G$2,$Q47=Parametres!$G$3),I47,C47)</f>
        <v>10749</v>
      </c>
      <c r="O47" s="151">
        <f>+IF(OR($Q47=Parametres!$G$2,$Q47=Parametres!$G$3),J47,D47)</f>
        <v>3146</v>
      </c>
      <c r="P47" s="151">
        <f>+IF(OR($Q47=Parametres!$G$2,$Q47=Parametres!$G$3),K47,E47)</f>
        <v>13895</v>
      </c>
      <c r="Q47" s="150" t="str">
        <f t="shared" si="2"/>
        <v>1-Mémo</v>
      </c>
      <c r="R47" s="149" t="str">
        <f t="shared" si="3"/>
        <v>144</v>
      </c>
      <c r="S47" s="150" t="str">
        <f t="shared" si="4"/>
        <v>_</v>
      </c>
      <c r="T47" s="152" t="str">
        <f>+VLOOKUP($L47,Data_Validation!$A:$D,1,0)</f>
        <v>144C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1318</v>
      </c>
      <c r="B48" s="718" t="s">
        <v>566</v>
      </c>
      <c r="C48" s="719"/>
      <c r="D48" s="719"/>
      <c r="E48" s="719"/>
      <c r="F48" s="718" t="s">
        <v>1</v>
      </c>
      <c r="G48" s="718" t="s">
        <v>2453</v>
      </c>
      <c r="H48" s="719" t="s">
        <v>2971</v>
      </c>
      <c r="I48" s="720">
        <v>5452</v>
      </c>
      <c r="J48" s="720">
        <v>0</v>
      </c>
      <c r="K48" s="720">
        <v>5452</v>
      </c>
      <c r="L48" s="149" t="str">
        <f t="shared" si="0"/>
        <v>144D</v>
      </c>
      <c r="M48" s="150" t="str">
        <f t="shared" si="1"/>
        <v>A/R PIECES+SERVICE 91-120 JRS</v>
      </c>
      <c r="N48" s="151">
        <f>+IF(OR($Q48=Parametres!$G$2,$Q48=Parametres!$G$3),I48,C48)</f>
        <v>5452</v>
      </c>
      <c r="O48" s="505">
        <f>+IF(OR($Q48=Parametres!$G$2,$Q48=Parametres!$G$3),J48,D48)</f>
        <v>0</v>
      </c>
      <c r="P48" s="151">
        <f>+IF(OR($Q48=Parametres!$G$2,$Q48=Parametres!$G$3),K48,E48)</f>
        <v>5452</v>
      </c>
      <c r="Q48" s="150" t="str">
        <f t="shared" si="2"/>
        <v>1-Mémo</v>
      </c>
      <c r="R48" s="149" t="str">
        <f t="shared" si="3"/>
        <v>144</v>
      </c>
      <c r="S48" s="150" t="str">
        <f t="shared" si="4"/>
        <v>_</v>
      </c>
      <c r="T48" s="152" t="str">
        <f>+VLOOKUP($L48,Data_Validation!$A:$D,1,0)</f>
        <v>144D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1319</v>
      </c>
      <c r="B49" s="718" t="s">
        <v>567</v>
      </c>
      <c r="C49" s="720"/>
      <c r="D49" s="720"/>
      <c r="E49" s="720"/>
      <c r="F49" s="718" t="s">
        <v>1</v>
      </c>
      <c r="G49" s="718" t="s">
        <v>2453</v>
      </c>
      <c r="H49" s="673" t="s">
        <v>2971</v>
      </c>
      <c r="I49" s="672">
        <v>15783</v>
      </c>
      <c r="J49" s="672">
        <v>4913</v>
      </c>
      <c r="K49" s="672">
        <v>20696</v>
      </c>
      <c r="L49" s="149" t="str">
        <f t="shared" si="0"/>
        <v>144E</v>
      </c>
      <c r="M49" s="150" t="str">
        <f t="shared" si="1"/>
        <v>A/R PIECES+SERVICE 120+ JRS</v>
      </c>
      <c r="N49" s="151">
        <f>+IF(OR($Q49=Parametres!$G$2,$Q49=Parametres!$G$3),I49,C49)</f>
        <v>15783</v>
      </c>
      <c r="O49" s="151">
        <f>+IF(OR($Q49=Parametres!$G$2,$Q49=Parametres!$G$3),J49,D49)</f>
        <v>4913</v>
      </c>
      <c r="P49" s="151">
        <f>+IF(OR($Q49=Parametres!$G$2,$Q49=Parametres!$G$3),K49,E49)</f>
        <v>20696</v>
      </c>
      <c r="Q49" s="150" t="str">
        <f t="shared" si="2"/>
        <v>1-Mémo</v>
      </c>
      <c r="R49" s="149" t="str">
        <f t="shared" si="3"/>
        <v>144</v>
      </c>
      <c r="S49" s="150" t="str">
        <f t="shared" si="4"/>
        <v>_</v>
      </c>
      <c r="T49" s="152" t="str">
        <f>+VLOOKUP($L49,Data_Validation!$A:$D,1,0)</f>
        <v>144E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1320</v>
      </c>
      <c r="B50" s="718" t="s">
        <v>568</v>
      </c>
      <c r="C50" s="720"/>
      <c r="D50" s="720"/>
      <c r="E50" s="720"/>
      <c r="F50" s="718" t="s">
        <v>1</v>
      </c>
      <c r="G50" s="718" t="s">
        <v>568</v>
      </c>
      <c r="H50" s="673" t="s">
        <v>2971</v>
      </c>
      <c r="I50" s="673">
        <v>1051751</v>
      </c>
      <c r="J50" s="673">
        <v>0</v>
      </c>
      <c r="K50" s="673">
        <v>1051751</v>
      </c>
      <c r="L50" s="149" t="str">
        <f t="shared" si="0"/>
        <v>145</v>
      </c>
      <c r="M50" s="150" t="str">
        <f t="shared" si="1"/>
        <v>FONDS DE ROULEMENT REQUIS</v>
      </c>
      <c r="N50" s="151">
        <f>+IF(OR($Q50=Parametres!$G$2,$Q50=Parametres!$G$3),I50,C50)</f>
        <v>1051751</v>
      </c>
      <c r="O50" s="151">
        <f>+IF(OR($Q50=Parametres!$G$2,$Q50=Parametres!$G$3),J50,D50)</f>
        <v>0</v>
      </c>
      <c r="P50" s="151">
        <f>+IF(OR($Q50=Parametres!$G$2,$Q50=Parametres!$G$3),K50,E50)</f>
        <v>1051751</v>
      </c>
      <c r="Q50" s="150" t="str">
        <f t="shared" si="2"/>
        <v>1-Mémo</v>
      </c>
      <c r="R50" s="149" t="str">
        <f t="shared" si="3"/>
        <v>145</v>
      </c>
      <c r="S50" s="150" t="str">
        <f t="shared" si="4"/>
        <v>_</v>
      </c>
      <c r="T50" s="152" t="str">
        <f>+VLOOKUP($L50,Data_Validation!$A:$D,1,0)</f>
        <v>145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1321</v>
      </c>
      <c r="B51" s="718" t="s">
        <v>569</v>
      </c>
      <c r="C51" s="720"/>
      <c r="D51" s="720"/>
      <c r="E51" s="720"/>
      <c r="F51" s="718" t="s">
        <v>1</v>
      </c>
      <c r="G51" s="718" t="s">
        <v>569</v>
      </c>
      <c r="H51" s="673" t="s">
        <v>2971</v>
      </c>
      <c r="I51" s="672">
        <v>464021</v>
      </c>
      <c r="J51" s="672">
        <v>87000</v>
      </c>
      <c r="K51" s="672">
        <v>551021</v>
      </c>
      <c r="L51" s="149" t="str">
        <f t="shared" si="0"/>
        <v>154B</v>
      </c>
      <c r="M51" s="150" t="str">
        <f t="shared" si="1"/>
        <v>$ INV USAGE BMW AUTO 31-60 JRS</v>
      </c>
      <c r="N51" s="151">
        <f>+IF(OR($Q51=Parametres!$G$2,$Q51=Parametres!$G$3),I51,C51)</f>
        <v>464021</v>
      </c>
      <c r="O51" s="151">
        <f>+IF(OR($Q51=Parametres!$G$2,$Q51=Parametres!$G$3),J51,D51)</f>
        <v>87000</v>
      </c>
      <c r="P51" s="151">
        <f>+IF(OR($Q51=Parametres!$G$2,$Q51=Parametres!$G$3),K51,E51)</f>
        <v>551021</v>
      </c>
      <c r="Q51" s="150" t="str">
        <f t="shared" si="2"/>
        <v>1-Mémo</v>
      </c>
      <c r="R51" s="149" t="str">
        <f t="shared" si="3"/>
        <v>154B</v>
      </c>
      <c r="S51" s="150" t="str">
        <f t="shared" si="4"/>
        <v>_</v>
      </c>
      <c r="T51" s="152" t="str">
        <f>+VLOOKUP($L51,Data_Validation!$A:$D,1,0)</f>
        <v>154B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1322</v>
      </c>
      <c r="B52" s="718" t="s">
        <v>570</v>
      </c>
      <c r="C52" s="719"/>
      <c r="D52" s="719"/>
      <c r="E52" s="719"/>
      <c r="F52" s="718" t="s">
        <v>1</v>
      </c>
      <c r="G52" s="718" t="s">
        <v>569</v>
      </c>
      <c r="H52" s="719" t="s">
        <v>2971</v>
      </c>
      <c r="I52" s="720">
        <v>202477</v>
      </c>
      <c r="J52" s="720">
        <v>0</v>
      </c>
      <c r="K52" s="720">
        <v>202477</v>
      </c>
      <c r="L52" s="149" t="str">
        <f t="shared" si="0"/>
        <v>154C</v>
      </c>
      <c r="M52" s="150" t="str">
        <f t="shared" si="1"/>
        <v>$ INV USAGE BMW AUTO 61-90 JRS</v>
      </c>
      <c r="N52" s="151">
        <f>+IF(OR($Q52=Parametres!$G$2,$Q52=Parametres!$G$3),I52,C52)</f>
        <v>202477</v>
      </c>
      <c r="O52" s="151">
        <f>+IF(OR($Q52=Parametres!$G$2,$Q52=Parametres!$G$3),J52,D52)</f>
        <v>0</v>
      </c>
      <c r="P52" s="151">
        <f>+IF(OR($Q52=Parametres!$G$2,$Q52=Parametres!$G$3),K52,E52)</f>
        <v>202477</v>
      </c>
      <c r="Q52" s="150" t="str">
        <f t="shared" si="2"/>
        <v>1-Mémo</v>
      </c>
      <c r="R52" s="149" t="str">
        <f t="shared" si="3"/>
        <v>154B</v>
      </c>
      <c r="S52" s="150" t="str">
        <f t="shared" si="4"/>
        <v>_</v>
      </c>
      <c r="T52" s="152" t="str">
        <f>+VLOOKUP($L52,Data_Validation!$A:$D,1,0)</f>
        <v>154C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1323</v>
      </c>
      <c r="B53" s="718" t="s">
        <v>571</v>
      </c>
      <c r="C53" s="720"/>
      <c r="D53" s="720"/>
      <c r="E53" s="720"/>
      <c r="F53" s="718" t="s">
        <v>1</v>
      </c>
      <c r="G53" s="718" t="s">
        <v>569</v>
      </c>
      <c r="H53" s="673" t="s">
        <v>2971</v>
      </c>
      <c r="I53" s="672">
        <v>216265</v>
      </c>
      <c r="J53" s="672">
        <v>48724</v>
      </c>
      <c r="K53" s="672">
        <v>264989</v>
      </c>
      <c r="L53" s="149" t="str">
        <f t="shared" si="0"/>
        <v>154D</v>
      </c>
      <c r="M53" s="150" t="str">
        <f t="shared" si="1"/>
        <v>$ INV USAGE BMW AUTO 91-120 JRS</v>
      </c>
      <c r="N53" s="151">
        <f>+IF(OR($Q53=Parametres!$G$2,$Q53=Parametres!$G$3),I53,C53)</f>
        <v>216265</v>
      </c>
      <c r="O53" s="151">
        <f>+IF(OR($Q53=Parametres!$G$2,$Q53=Parametres!$G$3),J53,D53)</f>
        <v>48724</v>
      </c>
      <c r="P53" s="151">
        <f>+IF(OR($Q53=Parametres!$G$2,$Q53=Parametres!$G$3),K53,E53)</f>
        <v>264989</v>
      </c>
      <c r="Q53" s="150" t="str">
        <f t="shared" si="2"/>
        <v>1-Mémo</v>
      </c>
      <c r="R53" s="149" t="str">
        <f t="shared" si="3"/>
        <v>154B</v>
      </c>
      <c r="S53" s="150" t="str">
        <f t="shared" si="4"/>
        <v>_</v>
      </c>
      <c r="T53" s="152" t="str">
        <f>+VLOOKUP($L53,Data_Validation!$A:$D,1,0)</f>
        <v>154D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1325</v>
      </c>
      <c r="B54" s="718" t="s">
        <v>573</v>
      </c>
      <c r="C54" s="720"/>
      <c r="D54" s="720"/>
      <c r="E54" s="720"/>
      <c r="F54" s="718" t="s">
        <v>1</v>
      </c>
      <c r="G54" s="718" t="s">
        <v>573</v>
      </c>
      <c r="H54" s="673" t="s">
        <v>2971</v>
      </c>
      <c r="I54" s="673">
        <v>0.19</v>
      </c>
      <c r="J54" s="673">
        <v>0.03</v>
      </c>
      <c r="K54" s="673">
        <v>0.22</v>
      </c>
      <c r="L54" s="149" t="str">
        <f t="shared" si="0"/>
        <v>156</v>
      </c>
      <c r="M54" s="150" t="str">
        <f t="shared" si="1"/>
        <v>NB INV + 30 JOURS USAGE BMW AUTO</v>
      </c>
      <c r="N54" s="151">
        <f>+IF(OR($Q54=Parametres!$G$2,$Q54=Parametres!$G$3),I54,C54)</f>
        <v>0.19</v>
      </c>
      <c r="O54" s="151">
        <f>+IF(OR($Q54=Parametres!$G$2,$Q54=Parametres!$G$3),J54,D54)</f>
        <v>0.03</v>
      </c>
      <c r="P54" s="151">
        <f>+IF(OR($Q54=Parametres!$G$2,$Q54=Parametres!$G$3),K54,E54)</f>
        <v>0.22</v>
      </c>
      <c r="Q54" s="150" t="str">
        <f t="shared" si="2"/>
        <v>1-Mémo</v>
      </c>
      <c r="R54" s="149" t="str">
        <f t="shared" si="3"/>
        <v>156</v>
      </c>
      <c r="S54" s="150" t="str">
        <f t="shared" si="4"/>
        <v>_</v>
      </c>
      <c r="T54" s="152" t="str">
        <f>+VLOOKUP($L54,Data_Validation!$A:$D,1,0)</f>
        <v>156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1326</v>
      </c>
      <c r="B55" s="718" t="s">
        <v>574</v>
      </c>
      <c r="C55" s="720"/>
      <c r="D55" s="720"/>
      <c r="E55" s="720"/>
      <c r="F55" s="718" t="s">
        <v>1</v>
      </c>
      <c r="G55" s="718" t="s">
        <v>574</v>
      </c>
      <c r="H55" s="673" t="s">
        <v>2971</v>
      </c>
      <c r="I55" s="672">
        <v>488972</v>
      </c>
      <c r="J55" s="672">
        <v>176441</v>
      </c>
      <c r="K55" s="672">
        <v>665413</v>
      </c>
      <c r="L55" s="149" t="str">
        <f t="shared" si="0"/>
        <v>157B</v>
      </c>
      <c r="M55" s="150" t="str">
        <f t="shared" si="1"/>
        <v>$ INV USAGE AUTRE 31-60 JRS</v>
      </c>
      <c r="N55" s="151">
        <f>+IF(OR($Q55=Parametres!$G$2,$Q55=Parametres!$G$3),I55,C55)</f>
        <v>488972</v>
      </c>
      <c r="O55" s="151">
        <f>+IF(OR($Q55=Parametres!$G$2,$Q55=Parametres!$G$3),J55,D55)</f>
        <v>176441</v>
      </c>
      <c r="P55" s="151">
        <f>+IF(OR($Q55=Parametres!$G$2,$Q55=Parametres!$G$3),K55,E55)</f>
        <v>665413</v>
      </c>
      <c r="Q55" s="150" t="str">
        <f t="shared" si="2"/>
        <v>1-Mémo</v>
      </c>
      <c r="R55" s="149" t="str">
        <f t="shared" si="3"/>
        <v>157B</v>
      </c>
      <c r="S55" s="150" t="str">
        <f t="shared" si="4"/>
        <v>_</v>
      </c>
      <c r="T55" s="152" t="str">
        <f>+VLOOKUP($L55,Data_Validation!$A:$D,1,0)</f>
        <v>157B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1327</v>
      </c>
      <c r="B56" s="718" t="s">
        <v>575</v>
      </c>
      <c r="C56" s="720"/>
      <c r="D56" s="720"/>
      <c r="E56" s="720"/>
      <c r="F56" s="718" t="s">
        <v>1</v>
      </c>
      <c r="G56" s="718" t="s">
        <v>574</v>
      </c>
      <c r="H56" s="673" t="s">
        <v>2971</v>
      </c>
      <c r="I56" s="672">
        <v>329517</v>
      </c>
      <c r="J56" s="672">
        <v>109573</v>
      </c>
      <c r="K56" s="672">
        <v>439090</v>
      </c>
      <c r="L56" s="149" t="str">
        <f t="shared" si="0"/>
        <v>157C</v>
      </c>
      <c r="M56" s="150" t="str">
        <f t="shared" si="1"/>
        <v>$ INV USAGE AUTRE 61-90 JRS</v>
      </c>
      <c r="N56" s="151">
        <f>+IF(OR($Q56=Parametres!$G$2,$Q56=Parametres!$G$3),I56,C56)</f>
        <v>329517</v>
      </c>
      <c r="O56" s="151">
        <f>+IF(OR($Q56=Parametres!$G$2,$Q56=Parametres!$G$3),J56,D56)</f>
        <v>109573</v>
      </c>
      <c r="P56" s="151">
        <f>+IF(OR($Q56=Parametres!$G$2,$Q56=Parametres!$G$3),K56,E56)</f>
        <v>439090</v>
      </c>
      <c r="Q56" s="150" t="str">
        <f t="shared" si="2"/>
        <v>1-Mémo</v>
      </c>
      <c r="R56" s="149" t="str">
        <f t="shared" si="3"/>
        <v>157B</v>
      </c>
      <c r="S56" s="150" t="str">
        <f t="shared" si="4"/>
        <v>_</v>
      </c>
      <c r="T56" s="152" t="str">
        <f>+VLOOKUP($L56,Data_Validation!$A:$D,1,0)</f>
        <v>157C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1328</v>
      </c>
      <c r="B57" s="718" t="s">
        <v>576</v>
      </c>
      <c r="C57" s="720"/>
      <c r="D57" s="720"/>
      <c r="E57" s="720"/>
      <c r="F57" s="718" t="s">
        <v>1</v>
      </c>
      <c r="G57" s="718" t="s">
        <v>574</v>
      </c>
      <c r="H57" s="673" t="s">
        <v>2971</v>
      </c>
      <c r="I57" s="672">
        <v>113438</v>
      </c>
      <c r="J57" s="672">
        <v>140677</v>
      </c>
      <c r="K57" s="672">
        <v>254115</v>
      </c>
      <c r="L57" s="149" t="str">
        <f t="shared" si="0"/>
        <v>157D</v>
      </c>
      <c r="M57" s="150" t="str">
        <f t="shared" si="1"/>
        <v>$ INV USAGE AUTRE 91-120 JRS</v>
      </c>
      <c r="N57" s="151">
        <f>+IF(OR($Q57=Parametres!$G$2,$Q57=Parametres!$G$3),I57,C57)</f>
        <v>113438</v>
      </c>
      <c r="O57" s="151">
        <f>+IF(OR($Q57=Parametres!$G$2,$Q57=Parametres!$G$3),J57,D57)</f>
        <v>140677</v>
      </c>
      <c r="P57" s="151">
        <f>+IF(OR($Q57=Parametres!$G$2,$Q57=Parametres!$G$3),K57,E57)</f>
        <v>254115</v>
      </c>
      <c r="Q57" s="150" t="str">
        <f t="shared" si="2"/>
        <v>1-Mémo</v>
      </c>
      <c r="R57" s="149" t="str">
        <f t="shared" si="3"/>
        <v>157B</v>
      </c>
      <c r="S57" s="150" t="str">
        <f t="shared" si="4"/>
        <v>_</v>
      </c>
      <c r="T57" s="152" t="str">
        <f>+VLOOKUP($L57,Data_Validation!$A:$D,1,0)</f>
        <v>157D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1329</v>
      </c>
      <c r="B58" s="718" t="s">
        <v>1330</v>
      </c>
      <c r="C58" s="720"/>
      <c r="D58" s="720"/>
      <c r="E58" s="720"/>
      <c r="F58" s="718" t="s">
        <v>1</v>
      </c>
      <c r="G58" s="718" t="s">
        <v>574</v>
      </c>
      <c r="H58" s="607" t="s">
        <v>2971</v>
      </c>
      <c r="I58" s="608">
        <v>309394</v>
      </c>
      <c r="J58" s="608">
        <v>283</v>
      </c>
      <c r="K58" s="608">
        <v>309677</v>
      </c>
      <c r="L58" s="149" t="str">
        <f t="shared" si="0"/>
        <v>157E</v>
      </c>
      <c r="M58" s="150" t="str">
        <f t="shared" si="1"/>
        <v>$ INV USAGE AUTRE 120+ JRS</v>
      </c>
      <c r="N58" s="151">
        <f>+IF(OR($Q58=Parametres!$G$2,$Q58=Parametres!$G$3),I58,C58)</f>
        <v>309394</v>
      </c>
      <c r="O58" s="151">
        <f>+IF(OR($Q58=Parametres!$G$2,$Q58=Parametres!$G$3),J58,D58)</f>
        <v>283</v>
      </c>
      <c r="P58" s="151">
        <f>+IF(OR($Q58=Parametres!$G$2,$Q58=Parametres!$G$3),K58,E58)</f>
        <v>309677</v>
      </c>
      <c r="Q58" s="150" t="str">
        <f t="shared" si="2"/>
        <v>1-Mémo</v>
      </c>
      <c r="R58" s="149" t="str">
        <f t="shared" si="3"/>
        <v>157B</v>
      </c>
      <c r="S58" s="150" t="str">
        <f t="shared" si="4"/>
        <v>_</v>
      </c>
      <c r="T58" s="152" t="str">
        <f>+VLOOKUP($L58,Data_Validation!$A:$D,1,0)</f>
        <v>157E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1331</v>
      </c>
      <c r="B59" s="718" t="s">
        <v>577</v>
      </c>
      <c r="C59" s="720"/>
      <c r="D59" s="720"/>
      <c r="E59" s="720"/>
      <c r="F59" s="718" t="s">
        <v>1</v>
      </c>
      <c r="G59" s="718" t="s">
        <v>577</v>
      </c>
      <c r="H59" s="673" t="s">
        <v>2971</v>
      </c>
      <c r="I59" s="672">
        <v>1</v>
      </c>
      <c r="J59" s="672">
        <v>0</v>
      </c>
      <c r="K59" s="672">
        <v>1</v>
      </c>
      <c r="L59" s="149" t="str">
        <f t="shared" si="0"/>
        <v>160Z</v>
      </c>
      <c r="M59" s="150" t="str">
        <f t="shared" si="1"/>
        <v>NB EMP. PROPRIETAIRE ADMIN.</v>
      </c>
      <c r="N59" s="151">
        <f>+IF(OR($Q59=Parametres!$G$2,$Q59=Parametres!$G$3),I59,C59)</f>
        <v>1</v>
      </c>
      <c r="O59" s="151">
        <f>+IF(OR($Q59=Parametres!$G$2,$Q59=Parametres!$G$3),J59,D59)</f>
        <v>0</v>
      </c>
      <c r="P59" s="151">
        <f>+IF(OR($Q59=Parametres!$G$2,$Q59=Parametres!$G$3),K59,E59)</f>
        <v>1</v>
      </c>
      <c r="Q59" s="150" t="str">
        <f t="shared" si="2"/>
        <v>1-Mémo</v>
      </c>
      <c r="R59" s="149" t="str">
        <f t="shared" si="3"/>
        <v>160Z</v>
      </c>
      <c r="S59" s="150" t="str">
        <f t="shared" si="4"/>
        <v>_</v>
      </c>
      <c r="T59" s="152" t="str">
        <f>+VLOOKUP($L59,Data_Validation!$A:$D,1,0)</f>
        <v>160Z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1332</v>
      </c>
      <c r="B60" s="718" t="s">
        <v>578</v>
      </c>
      <c r="C60" s="720"/>
      <c r="D60" s="720"/>
      <c r="E60" s="720"/>
      <c r="F60" s="718" t="s">
        <v>1</v>
      </c>
      <c r="G60" s="718" t="s">
        <v>2454</v>
      </c>
      <c r="H60" s="673" t="s">
        <v>2971</v>
      </c>
      <c r="I60" s="673">
        <v>0.5</v>
      </c>
      <c r="J60" s="673">
        <v>0</v>
      </c>
      <c r="K60" s="673">
        <v>0.5</v>
      </c>
      <c r="L60" s="149" t="str">
        <f t="shared" si="0"/>
        <v>161A</v>
      </c>
      <c r="M60" s="150" t="str">
        <f t="shared" si="1"/>
        <v>NB EMP. SUPERVISION - NEUF</v>
      </c>
      <c r="N60" s="151">
        <f>+IF(OR($Q60=Parametres!$G$2,$Q60=Parametres!$G$3),I60,C60)</f>
        <v>0.5</v>
      </c>
      <c r="O60" s="151">
        <f>+IF(OR($Q60=Parametres!$G$2,$Q60=Parametres!$G$3),J60,D60)</f>
        <v>0</v>
      </c>
      <c r="P60" s="151">
        <f>+IF(OR($Q60=Parametres!$G$2,$Q60=Parametres!$G$3),K60,E60)</f>
        <v>0.5</v>
      </c>
      <c r="Q60" s="150" t="str">
        <f t="shared" si="2"/>
        <v>1-Mémo</v>
      </c>
      <c r="R60" s="149" t="str">
        <f t="shared" si="3"/>
        <v>161</v>
      </c>
      <c r="S60" s="150" t="str">
        <f t="shared" si="4"/>
        <v>_</v>
      </c>
      <c r="T60" s="152" t="str">
        <f>+VLOOKUP($L60,Data_Validation!$A:$D,1,0)</f>
        <v>161A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1333</v>
      </c>
      <c r="B61" s="718" t="s">
        <v>579</v>
      </c>
      <c r="C61" s="720"/>
      <c r="D61" s="720"/>
      <c r="E61" s="720"/>
      <c r="F61" s="718" t="s">
        <v>1</v>
      </c>
      <c r="G61" s="718" t="s">
        <v>2454</v>
      </c>
      <c r="H61" s="673" t="s">
        <v>2971</v>
      </c>
      <c r="I61" s="673">
        <v>0.5</v>
      </c>
      <c r="J61" s="673">
        <v>0</v>
      </c>
      <c r="K61" s="673">
        <v>0.5</v>
      </c>
      <c r="L61" s="149" t="str">
        <f t="shared" si="0"/>
        <v>161B</v>
      </c>
      <c r="M61" s="150" t="str">
        <f t="shared" si="1"/>
        <v>NB EMP. SUPERVISION - USAGE</v>
      </c>
      <c r="N61" s="151">
        <f>+IF(OR($Q61=Parametres!$G$2,$Q61=Parametres!$G$3),I61,C61)</f>
        <v>0.5</v>
      </c>
      <c r="O61" s="151">
        <f>+IF(OR($Q61=Parametres!$G$2,$Q61=Parametres!$G$3),J61,D61)</f>
        <v>0</v>
      </c>
      <c r="P61" s="151">
        <f>+IF(OR($Q61=Parametres!$G$2,$Q61=Parametres!$G$3),K61,E61)</f>
        <v>0.5</v>
      </c>
      <c r="Q61" s="150" t="str">
        <f t="shared" si="2"/>
        <v>1-Mémo</v>
      </c>
      <c r="R61" s="149" t="str">
        <f t="shared" si="3"/>
        <v>161</v>
      </c>
      <c r="S61" s="150" t="str">
        <f t="shared" si="4"/>
        <v>_</v>
      </c>
      <c r="T61" s="152" t="str">
        <f>+VLOOKUP($L61,Data_Validation!$A:$D,1,0)</f>
        <v>161B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1334</v>
      </c>
      <c r="B62" s="718" t="s">
        <v>580</v>
      </c>
      <c r="C62" s="720"/>
      <c r="D62" s="720"/>
      <c r="E62" s="720"/>
      <c r="F62" s="718" t="s">
        <v>1</v>
      </c>
      <c r="G62" s="718" t="s">
        <v>2454</v>
      </c>
      <c r="H62" s="607" t="s">
        <v>2971</v>
      </c>
      <c r="I62" s="153">
        <v>0.5</v>
      </c>
      <c r="J62" s="153">
        <v>0</v>
      </c>
      <c r="K62" s="153">
        <v>0.5</v>
      </c>
      <c r="L62" s="149" t="str">
        <f t="shared" si="0"/>
        <v>161C</v>
      </c>
      <c r="M62" s="150" t="str">
        <f t="shared" si="1"/>
        <v>NB EMP. SUPERBISION - SERVICE</v>
      </c>
      <c r="N62" s="151">
        <f>+IF(OR($Q62=Parametres!$G$2,$Q62=Parametres!$G$3),I62,C62)</f>
        <v>0.5</v>
      </c>
      <c r="O62" s="151">
        <f>+IF(OR($Q62=Parametres!$G$2,$Q62=Parametres!$G$3),J62,D62)</f>
        <v>0</v>
      </c>
      <c r="P62" s="151">
        <f>+IF(OR($Q62=Parametres!$G$2,$Q62=Parametres!$G$3),K62,E62)</f>
        <v>0.5</v>
      </c>
      <c r="Q62" s="150" t="str">
        <f t="shared" si="2"/>
        <v>1-Mémo</v>
      </c>
      <c r="R62" s="149" t="str">
        <f t="shared" si="3"/>
        <v>161</v>
      </c>
      <c r="S62" s="150" t="str">
        <f t="shared" si="4"/>
        <v>_</v>
      </c>
      <c r="T62" s="152" t="str">
        <f>+VLOOKUP($L62,Data_Validation!$A:$D,1,0)</f>
        <v>161C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1335</v>
      </c>
      <c r="B63" s="718" t="s">
        <v>581</v>
      </c>
      <c r="C63" s="720"/>
      <c r="D63" s="720"/>
      <c r="E63" s="720"/>
      <c r="F63" s="718" t="s">
        <v>1</v>
      </c>
      <c r="G63" s="718" t="s">
        <v>2454</v>
      </c>
      <c r="H63" s="673" t="s">
        <v>2971</v>
      </c>
      <c r="I63" s="672">
        <v>0.5</v>
      </c>
      <c r="J63" s="672">
        <v>0</v>
      </c>
      <c r="K63" s="672">
        <v>0.5</v>
      </c>
      <c r="L63" s="149" t="str">
        <f t="shared" si="0"/>
        <v>161D</v>
      </c>
      <c r="M63" s="150" t="str">
        <f t="shared" si="1"/>
        <v>NB EMP. SUPERVISION - PIECES</v>
      </c>
      <c r="N63" s="151">
        <f>+IF(OR($Q63=Parametres!$G$2,$Q63=Parametres!$G$3),I63,C63)</f>
        <v>0.5</v>
      </c>
      <c r="O63" s="151">
        <f>+IF(OR($Q63=Parametres!$G$2,$Q63=Parametres!$G$3),J63,D63)</f>
        <v>0</v>
      </c>
      <c r="P63" s="151">
        <f>+IF(OR($Q63=Parametres!$G$2,$Q63=Parametres!$G$3),K63,E63)</f>
        <v>0.5</v>
      </c>
      <c r="Q63" s="150" t="str">
        <f t="shared" si="2"/>
        <v>1-Mémo</v>
      </c>
      <c r="R63" s="149" t="str">
        <f t="shared" si="3"/>
        <v>161</v>
      </c>
      <c r="S63" s="150" t="str">
        <f t="shared" si="4"/>
        <v>_</v>
      </c>
      <c r="T63" s="152" t="str">
        <f>+VLOOKUP($L63,Data_Validation!$A:$D,1,0)</f>
        <v>161D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1336</v>
      </c>
      <c r="B64" s="718" t="s">
        <v>582</v>
      </c>
      <c r="C64" s="719"/>
      <c r="D64" s="719"/>
      <c r="E64" s="719"/>
      <c r="F64" s="718" t="s">
        <v>1</v>
      </c>
      <c r="G64" s="718" t="s">
        <v>2454</v>
      </c>
      <c r="H64" s="719" t="s">
        <v>2971</v>
      </c>
      <c r="I64" s="720">
        <v>0.5</v>
      </c>
      <c r="J64" s="720">
        <v>0</v>
      </c>
      <c r="K64" s="720">
        <v>0.5</v>
      </c>
      <c r="L64" s="149" t="str">
        <f t="shared" si="0"/>
        <v>161Z</v>
      </c>
      <c r="M64" s="150" t="str">
        <f t="shared" si="1"/>
        <v>NB EMP. SUPERVISION - ADMIN.</v>
      </c>
      <c r="N64" s="151">
        <f>+IF(OR($Q64=Parametres!$G$2,$Q64=Parametres!$G$3),I64,C64)</f>
        <v>0.5</v>
      </c>
      <c r="O64" s="504">
        <f>+IF(OR($Q64=Parametres!$G$2,$Q64=Parametres!$G$3),J64,D64)</f>
        <v>0</v>
      </c>
      <c r="P64" s="151">
        <f>+IF(OR($Q64=Parametres!$G$2,$Q64=Parametres!$G$3),K64,E64)</f>
        <v>0.5</v>
      </c>
      <c r="Q64" s="150" t="str">
        <f t="shared" si="2"/>
        <v>1-Mémo</v>
      </c>
      <c r="R64" s="149" t="str">
        <f t="shared" si="3"/>
        <v>161</v>
      </c>
      <c r="S64" s="150" t="str">
        <f t="shared" si="4"/>
        <v>_</v>
      </c>
      <c r="T64" s="152" t="str">
        <f>+VLOOKUP($L64,Data_Validation!$A:$D,1,0)</f>
        <v>161Z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1337</v>
      </c>
      <c r="B65" s="718" t="s">
        <v>583</v>
      </c>
      <c r="C65" s="720"/>
      <c r="D65" s="720"/>
      <c r="E65" s="720"/>
      <c r="F65" s="718" t="s">
        <v>1</v>
      </c>
      <c r="G65" s="718" t="s">
        <v>583</v>
      </c>
      <c r="H65" s="673" t="s">
        <v>2971</v>
      </c>
      <c r="I65" s="672">
        <v>1</v>
      </c>
      <c r="J65" s="672">
        <v>0</v>
      </c>
      <c r="K65" s="672">
        <v>1</v>
      </c>
      <c r="L65" s="149" t="str">
        <f t="shared" si="0"/>
        <v>164</v>
      </c>
      <c r="M65" s="150" t="str">
        <f t="shared" si="1"/>
        <v>NB EMP. VENDEURS BMW - F&amp;I</v>
      </c>
      <c r="N65" s="151">
        <f>+IF(OR($Q65=Parametres!$G$2,$Q65=Parametres!$G$3),I65,C65)</f>
        <v>1</v>
      </c>
      <c r="O65" s="151">
        <f>+IF(OR($Q65=Parametres!$G$2,$Q65=Parametres!$G$3),J65,D65)</f>
        <v>0</v>
      </c>
      <c r="P65" s="151">
        <f>+IF(OR($Q65=Parametres!$G$2,$Q65=Parametres!$G$3),K65,E65)</f>
        <v>1</v>
      </c>
      <c r="Q65" s="150" t="str">
        <f t="shared" si="2"/>
        <v>1-Mémo</v>
      </c>
      <c r="R65" s="149" t="str">
        <f t="shared" si="3"/>
        <v>164</v>
      </c>
      <c r="S65" s="150" t="str">
        <f t="shared" si="4"/>
        <v>_</v>
      </c>
      <c r="T65" s="152" t="str">
        <f>+VLOOKUP($L65,Data_Validation!$A:$D,1,0)</f>
        <v>164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1338</v>
      </c>
      <c r="B66" s="718" t="s">
        <v>584</v>
      </c>
      <c r="C66" s="720"/>
      <c r="D66" s="720"/>
      <c r="E66" s="720"/>
      <c r="F66" s="718" t="s">
        <v>1</v>
      </c>
      <c r="G66" s="718" t="s">
        <v>583</v>
      </c>
      <c r="H66" s="666" t="s">
        <v>2971</v>
      </c>
      <c r="I66" s="665">
        <v>2</v>
      </c>
      <c r="J66" s="665">
        <v>0</v>
      </c>
      <c r="K66" s="665">
        <v>2</v>
      </c>
      <c r="L66" s="149" t="str">
        <f t="shared" ref="L66:L129" si="5">+B66</f>
        <v>164A</v>
      </c>
      <c r="M66" s="150" t="str">
        <f t="shared" ref="M66:M129" si="6">+A66</f>
        <v>NB EMP. VENDEURS BMW - NEUF</v>
      </c>
      <c r="N66" s="151">
        <f>+IF(OR($Q66=Parametres!$G$2,$Q66=Parametres!$G$3),I66,C66)</f>
        <v>2</v>
      </c>
      <c r="O66" s="151">
        <f>+IF(OR($Q66=Parametres!$G$2,$Q66=Parametres!$G$3),J66,D66)</f>
        <v>0</v>
      </c>
      <c r="P66" s="151">
        <f>+IF(OR($Q66=Parametres!$G$2,$Q66=Parametres!$G$3),K66,E66)</f>
        <v>2</v>
      </c>
      <c r="Q66" s="150" t="str">
        <f t="shared" ref="Q66:Q129" si="7">+F66</f>
        <v>1-Mémo</v>
      </c>
      <c r="R66" s="149" t="str">
        <f t="shared" ref="R66:R129" si="8">+G66</f>
        <v>164</v>
      </c>
      <c r="S66" s="150" t="str">
        <f t="shared" ref="S66:S129" si="9">+H66</f>
        <v>_</v>
      </c>
      <c r="T66" s="152" t="str">
        <f>+VLOOKUP($L66,Data_Validation!$A:$D,1,0)</f>
        <v>164A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1339</v>
      </c>
      <c r="B67" s="718" t="s">
        <v>585</v>
      </c>
      <c r="C67" s="720"/>
      <c r="D67" s="720"/>
      <c r="E67" s="720"/>
      <c r="F67" s="718" t="s">
        <v>1</v>
      </c>
      <c r="G67" s="718" t="s">
        <v>583</v>
      </c>
      <c r="H67" s="673" t="s">
        <v>2971</v>
      </c>
      <c r="I67" s="672">
        <v>2</v>
      </c>
      <c r="J67" s="672">
        <v>0</v>
      </c>
      <c r="K67" s="672">
        <v>2</v>
      </c>
      <c r="L67" s="149" t="str">
        <f t="shared" si="5"/>
        <v>164B</v>
      </c>
      <c r="M67" s="150" t="str">
        <f t="shared" si="6"/>
        <v>NB EMP. VENDEURS BMW - USAGE</v>
      </c>
      <c r="N67" s="151">
        <f>+IF(OR($Q67=Parametres!$G$2,$Q67=Parametres!$G$3),I67,C67)</f>
        <v>2</v>
      </c>
      <c r="O67" s="151">
        <f>+IF(OR($Q67=Parametres!$G$2,$Q67=Parametres!$G$3),J67,D67)</f>
        <v>0</v>
      </c>
      <c r="P67" s="151">
        <f>+IF(OR($Q67=Parametres!$G$2,$Q67=Parametres!$G$3),K67,E67)</f>
        <v>2</v>
      </c>
      <c r="Q67" s="150" t="str">
        <f t="shared" si="7"/>
        <v>1-Mémo</v>
      </c>
      <c r="R67" s="149" t="str">
        <f t="shared" si="8"/>
        <v>164</v>
      </c>
      <c r="S67" s="150" t="str">
        <f t="shared" si="9"/>
        <v>_</v>
      </c>
      <c r="T67" s="152" t="str">
        <f>+VLOOKUP($L67,Data_Validation!$A:$D,1,0)</f>
        <v>164B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1340</v>
      </c>
      <c r="B68" s="718" t="s">
        <v>586</v>
      </c>
      <c r="C68" s="720"/>
      <c r="D68" s="720"/>
      <c r="E68" s="720"/>
      <c r="F68" s="718" t="s">
        <v>1</v>
      </c>
      <c r="G68" s="718" t="s">
        <v>586</v>
      </c>
      <c r="H68" s="666" t="s">
        <v>2971</v>
      </c>
      <c r="I68" s="665">
        <v>2</v>
      </c>
      <c r="J68" s="665">
        <v>0</v>
      </c>
      <c r="K68" s="665">
        <v>2</v>
      </c>
      <c r="L68" s="149" t="str">
        <f t="shared" si="5"/>
        <v>164D</v>
      </c>
      <c r="M68" s="150" t="str">
        <f t="shared" si="6"/>
        <v>NB EMP. COMMIS COMPTOIR - PIECES</v>
      </c>
      <c r="N68" s="151">
        <f>+IF(OR($Q68=Parametres!$G$2,$Q68=Parametres!$G$3),I68,C68)</f>
        <v>2</v>
      </c>
      <c r="O68" s="151">
        <f>+IF(OR($Q68=Parametres!$G$2,$Q68=Parametres!$G$3),J68,D68)</f>
        <v>0</v>
      </c>
      <c r="P68" s="151">
        <f>+IF(OR($Q68=Parametres!$G$2,$Q68=Parametres!$G$3),K68,E68)</f>
        <v>2</v>
      </c>
      <c r="Q68" s="150" t="str">
        <f t="shared" si="7"/>
        <v>1-Mémo</v>
      </c>
      <c r="R68" s="149" t="str">
        <f t="shared" si="8"/>
        <v>164D</v>
      </c>
      <c r="S68" s="150" t="str">
        <f t="shared" si="9"/>
        <v>_</v>
      </c>
      <c r="T68" s="152" t="str">
        <f>+VLOOKUP($L68,Data_Validation!$A:$D,1,0)</f>
        <v>164D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2000</v>
      </c>
      <c r="B69" s="718" t="s">
        <v>2001</v>
      </c>
      <c r="C69" s="720"/>
      <c r="D69" s="720"/>
      <c r="E69" s="720"/>
      <c r="F69" s="718" t="s">
        <v>1</v>
      </c>
      <c r="G69" s="718" t="s">
        <v>2002</v>
      </c>
      <c r="H69" s="673" t="s">
        <v>2971</v>
      </c>
      <c r="I69" s="672">
        <v>1</v>
      </c>
      <c r="J69" s="672">
        <v>0</v>
      </c>
      <c r="K69" s="672">
        <v>1</v>
      </c>
      <c r="L69" s="149" t="str">
        <f t="shared" si="5"/>
        <v>166A</v>
      </c>
      <c r="M69" s="150" t="str">
        <f t="shared" si="6"/>
        <v>NB EMP. AUTRES - NEUF</v>
      </c>
      <c r="N69" s="151">
        <f>+IF(OR($Q69=Parametres!$G$2,$Q69=Parametres!$G$3),I69,C69)</f>
        <v>1</v>
      </c>
      <c r="O69" s="151">
        <f>+IF(OR($Q69=Parametres!$G$2,$Q69=Parametres!$G$3),J69,D69)</f>
        <v>0</v>
      </c>
      <c r="P69" s="151">
        <f>+IF(OR($Q69=Parametres!$G$2,$Q69=Parametres!$G$3),K69,E69)</f>
        <v>1</v>
      </c>
      <c r="Q69" s="150" t="str">
        <f t="shared" si="7"/>
        <v>1-Mémo</v>
      </c>
      <c r="R69" s="149" t="str">
        <f t="shared" si="8"/>
        <v>166</v>
      </c>
      <c r="S69" s="150" t="str">
        <f t="shared" si="9"/>
        <v>_</v>
      </c>
      <c r="T69" s="152" t="str">
        <f>+VLOOKUP($L69,Data_Validation!$A:$D,1,0)</f>
        <v>166A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2003</v>
      </c>
      <c r="B70" s="718" t="s">
        <v>2004</v>
      </c>
      <c r="C70" s="720"/>
      <c r="D70" s="720"/>
      <c r="E70" s="720"/>
      <c r="F70" s="718" t="s">
        <v>1</v>
      </c>
      <c r="G70" s="718" t="s">
        <v>2002</v>
      </c>
      <c r="H70" s="666" t="s">
        <v>2971</v>
      </c>
      <c r="I70" s="665">
        <v>1</v>
      </c>
      <c r="J70" s="665">
        <v>0</v>
      </c>
      <c r="K70" s="665">
        <v>1</v>
      </c>
      <c r="L70" s="149" t="str">
        <f t="shared" si="5"/>
        <v>166B</v>
      </c>
      <c r="M70" s="150" t="str">
        <f t="shared" si="6"/>
        <v>NB EMP. AUTRES - USAGE</v>
      </c>
      <c r="N70" s="151">
        <f>+IF(OR($Q70=Parametres!$G$2,$Q70=Parametres!$G$3),I70,C70)</f>
        <v>1</v>
      </c>
      <c r="O70" s="151">
        <f>+IF(OR($Q70=Parametres!$G$2,$Q70=Parametres!$G$3),J70,D70)</f>
        <v>0</v>
      </c>
      <c r="P70" s="151">
        <f>+IF(OR($Q70=Parametres!$G$2,$Q70=Parametres!$G$3),K70,E70)</f>
        <v>1</v>
      </c>
      <c r="Q70" s="150" t="str">
        <f t="shared" si="7"/>
        <v>1-Mémo</v>
      </c>
      <c r="R70" s="149" t="str">
        <f t="shared" si="8"/>
        <v>166</v>
      </c>
      <c r="S70" s="150" t="str">
        <f t="shared" si="9"/>
        <v>_</v>
      </c>
      <c r="T70" s="152" t="str">
        <f>+VLOOKUP($L70,Data_Validation!$A:$D,1,0)</f>
        <v>166B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1341</v>
      </c>
      <c r="B71" s="718" t="s">
        <v>587</v>
      </c>
      <c r="C71" s="720"/>
      <c r="D71" s="720"/>
      <c r="E71" s="720"/>
      <c r="F71" s="718" t="s">
        <v>1</v>
      </c>
      <c r="G71" s="718" t="s">
        <v>2002</v>
      </c>
      <c r="H71" s="673" t="s">
        <v>2971</v>
      </c>
      <c r="I71" s="672">
        <v>5.5</v>
      </c>
      <c r="J71" s="672">
        <v>0</v>
      </c>
      <c r="K71" s="672">
        <v>5.5</v>
      </c>
      <c r="L71" s="149" t="str">
        <f t="shared" si="5"/>
        <v>166C</v>
      </c>
      <c r="M71" s="150" t="str">
        <f t="shared" si="6"/>
        <v>NB EMP. AUTRES - SERVICE</v>
      </c>
      <c r="N71" s="151">
        <f>+IF(OR($Q71=Parametres!$G$2,$Q71=Parametres!$G$3),I71,C71)</f>
        <v>5.5</v>
      </c>
      <c r="O71" s="151">
        <f>+IF(OR($Q71=Parametres!$G$2,$Q71=Parametres!$G$3),J71,D71)</f>
        <v>0</v>
      </c>
      <c r="P71" s="151">
        <f>+IF(OR($Q71=Parametres!$G$2,$Q71=Parametres!$G$3),K71,E71)</f>
        <v>5.5</v>
      </c>
      <c r="Q71" s="150" t="str">
        <f t="shared" si="7"/>
        <v>1-Mémo</v>
      </c>
      <c r="R71" s="149" t="str">
        <f t="shared" si="8"/>
        <v>166</v>
      </c>
      <c r="S71" s="150" t="str">
        <f t="shared" si="9"/>
        <v>_</v>
      </c>
      <c r="T71" s="152" t="str">
        <f>+VLOOKUP($L71,Data_Validation!$A:$D,1,0)</f>
        <v>166C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1342</v>
      </c>
      <c r="B72" s="718" t="s">
        <v>588</v>
      </c>
      <c r="C72" s="720"/>
      <c r="D72" s="720"/>
      <c r="E72" s="720"/>
      <c r="F72" s="718" t="s">
        <v>1</v>
      </c>
      <c r="G72" s="718" t="s">
        <v>2002</v>
      </c>
      <c r="H72" s="673" t="s">
        <v>2971</v>
      </c>
      <c r="I72" s="672">
        <v>2</v>
      </c>
      <c r="J72" s="672">
        <v>0</v>
      </c>
      <c r="K72" s="672">
        <v>2</v>
      </c>
      <c r="L72" s="149" t="str">
        <f t="shared" si="5"/>
        <v>166Z</v>
      </c>
      <c r="M72" s="150" t="str">
        <f t="shared" si="6"/>
        <v>NB EMP. AUTRES - ADMIN.</v>
      </c>
      <c r="N72" s="151">
        <f>+IF(OR($Q72=Parametres!$G$2,$Q72=Parametres!$G$3),I72,C72)</f>
        <v>2</v>
      </c>
      <c r="O72" s="151">
        <f>+IF(OR($Q72=Parametres!$G$2,$Q72=Parametres!$G$3),J72,D72)</f>
        <v>0</v>
      </c>
      <c r="P72" s="151">
        <f>+IF(OR($Q72=Parametres!$G$2,$Q72=Parametres!$G$3),K72,E72)</f>
        <v>2</v>
      </c>
      <c r="Q72" s="150" t="str">
        <f t="shared" si="7"/>
        <v>1-Mémo</v>
      </c>
      <c r="R72" s="149" t="str">
        <f t="shared" si="8"/>
        <v>166</v>
      </c>
      <c r="S72" s="150" t="str">
        <f t="shared" si="9"/>
        <v>_</v>
      </c>
      <c r="T72" s="152" t="str">
        <f>+VLOOKUP($L72,Data_Validation!$A:$D,1,0)</f>
        <v>166Z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1343</v>
      </c>
      <c r="B73" s="718" t="s">
        <v>589</v>
      </c>
      <c r="C73" s="720"/>
      <c r="D73" s="720"/>
      <c r="E73" s="720"/>
      <c r="F73" s="718" t="s">
        <v>1</v>
      </c>
      <c r="G73" s="718" t="s">
        <v>2460</v>
      </c>
      <c r="H73" s="666" t="s">
        <v>2971</v>
      </c>
      <c r="I73" s="665">
        <v>6</v>
      </c>
      <c r="J73" s="665">
        <v>1</v>
      </c>
      <c r="K73" s="665">
        <v>7</v>
      </c>
      <c r="L73" s="149" t="str">
        <f t="shared" si="5"/>
        <v>170C</v>
      </c>
      <c r="M73" s="150" t="str">
        <f t="shared" si="6"/>
        <v>NB EMP. MECANICIENS - SERVICE</v>
      </c>
      <c r="N73" s="151">
        <f>+IF(OR($Q73=Parametres!$G$2,$Q73=Parametres!$G$3),I73,C73)</f>
        <v>6</v>
      </c>
      <c r="O73" s="151">
        <f>+IF(OR($Q73=Parametres!$G$2,$Q73=Parametres!$G$3),J73,D73)</f>
        <v>1</v>
      </c>
      <c r="P73" s="151">
        <f>+IF(OR($Q73=Parametres!$G$2,$Q73=Parametres!$G$3),K73,E73)</f>
        <v>7</v>
      </c>
      <c r="Q73" s="150" t="str">
        <f t="shared" si="7"/>
        <v>1-Mémo</v>
      </c>
      <c r="R73" s="149" t="str">
        <f t="shared" si="8"/>
        <v>170</v>
      </c>
      <c r="S73" s="150" t="str">
        <f t="shared" si="9"/>
        <v>_</v>
      </c>
      <c r="T73" s="152" t="str">
        <f>+VLOOKUP($L73,Data_Validation!$A:$D,1,0)</f>
        <v>170C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1344</v>
      </c>
      <c r="B74" s="718" t="s">
        <v>1345</v>
      </c>
      <c r="C74" s="720"/>
      <c r="D74" s="720"/>
      <c r="E74" s="720"/>
      <c r="F74" s="718" t="s">
        <v>1</v>
      </c>
      <c r="G74" s="718" t="s">
        <v>1345</v>
      </c>
      <c r="H74" s="673" t="s">
        <v>2971</v>
      </c>
      <c r="I74" s="672">
        <v>0.08</v>
      </c>
      <c r="J74" s="672">
        <v>0</v>
      </c>
      <c r="K74" s="672">
        <v>0.08</v>
      </c>
      <c r="L74" s="149" t="str">
        <f t="shared" si="5"/>
        <v>172M</v>
      </c>
      <c r="M74" s="150" t="str">
        <f t="shared" si="6"/>
        <v># DE BAIE DE TECHNICIEN</v>
      </c>
      <c r="N74" s="151">
        <f>+IF(OR($Q74=Parametres!$G$2,$Q74=Parametres!$G$3),I74,C74)</f>
        <v>0.08</v>
      </c>
      <c r="O74" s="151">
        <f>+IF(OR($Q74=Parametres!$G$2,$Q74=Parametres!$G$3),J74,D74)</f>
        <v>0</v>
      </c>
      <c r="P74" s="151">
        <f>+IF(OR($Q74=Parametres!$G$2,$Q74=Parametres!$G$3),K74,E74)</f>
        <v>0.08</v>
      </c>
      <c r="Q74" s="150" t="str">
        <f t="shared" si="7"/>
        <v>1-Mémo</v>
      </c>
      <c r="R74" s="149" t="str">
        <f t="shared" si="8"/>
        <v>172M</v>
      </c>
      <c r="S74" s="150" t="str">
        <f t="shared" si="9"/>
        <v>_</v>
      </c>
      <c r="T74" s="152" t="str">
        <f>+VLOOKUP($L74,Data_Validation!$A:$D,1,0)</f>
        <v>172M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1346</v>
      </c>
      <c r="B75" s="718" t="s">
        <v>1347</v>
      </c>
      <c r="C75" s="720"/>
      <c r="D75" s="720"/>
      <c r="E75" s="720"/>
      <c r="F75" s="718" t="s">
        <v>1</v>
      </c>
      <c r="G75" s="718" t="s">
        <v>1347</v>
      </c>
      <c r="H75" s="666" t="s">
        <v>2971</v>
      </c>
      <c r="I75" s="665">
        <v>0.04</v>
      </c>
      <c r="J75" s="665">
        <v>0</v>
      </c>
      <c r="K75" s="665">
        <v>0.04</v>
      </c>
      <c r="L75" s="149" t="str">
        <f t="shared" si="5"/>
        <v>172N</v>
      </c>
      <c r="M75" s="150" t="str">
        <f t="shared" si="6"/>
        <v># DE BAIE DE LAVAGE</v>
      </c>
      <c r="N75" s="151">
        <f>+IF(OR($Q75=Parametres!$G$2,$Q75=Parametres!$G$3),I75,C75)</f>
        <v>0.04</v>
      </c>
      <c r="O75" s="151">
        <f>+IF(OR($Q75=Parametres!$G$2,$Q75=Parametres!$G$3),J75,D75)</f>
        <v>0</v>
      </c>
      <c r="P75" s="151">
        <f>+IF(OR($Q75=Parametres!$G$2,$Q75=Parametres!$G$3),K75,E75)</f>
        <v>0.04</v>
      </c>
      <c r="Q75" s="150" t="str">
        <f t="shared" si="7"/>
        <v>1-Mémo</v>
      </c>
      <c r="R75" s="149" t="str">
        <f t="shared" si="8"/>
        <v>172N</v>
      </c>
      <c r="S75" s="150" t="str">
        <f t="shared" si="9"/>
        <v>_</v>
      </c>
      <c r="T75" s="152" t="str">
        <f>+VLOOKUP($L75,Data_Validation!$A:$D,1,0)</f>
        <v>172N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1348</v>
      </c>
      <c r="B76" s="718" t="s">
        <v>590</v>
      </c>
      <c r="C76" s="720"/>
      <c r="D76" s="720"/>
      <c r="E76" s="720"/>
      <c r="F76" s="718" t="s">
        <v>1</v>
      </c>
      <c r="G76" s="718" t="s">
        <v>2455</v>
      </c>
      <c r="H76" s="673" t="s">
        <v>2971</v>
      </c>
      <c r="I76" s="672">
        <v>2</v>
      </c>
      <c r="J76" s="672">
        <v>0</v>
      </c>
      <c r="K76" s="672">
        <v>2</v>
      </c>
      <c r="L76" s="149" t="str">
        <f t="shared" si="5"/>
        <v>173C</v>
      </c>
      <c r="M76" s="150" t="str">
        <f t="shared" si="6"/>
        <v>NB EMP. AVISEURS - SERVICE</v>
      </c>
      <c r="N76" s="151">
        <f>+IF(OR($Q76=Parametres!$G$2,$Q76=Parametres!$G$3),I76,C76)</f>
        <v>2</v>
      </c>
      <c r="O76" s="151">
        <f>+IF(OR($Q76=Parametres!$G$2,$Q76=Parametres!$G$3),J76,D76)</f>
        <v>0</v>
      </c>
      <c r="P76" s="151">
        <f>+IF(OR($Q76=Parametres!$G$2,$Q76=Parametres!$G$3),K76,E76)</f>
        <v>2</v>
      </c>
      <c r="Q76" s="150" t="str">
        <f t="shared" si="7"/>
        <v>1-Mémo</v>
      </c>
      <c r="R76" s="149" t="str">
        <f t="shared" si="8"/>
        <v>173</v>
      </c>
      <c r="S76" s="150" t="str">
        <f t="shared" si="9"/>
        <v>_</v>
      </c>
      <c r="T76" s="152" t="str">
        <f>+VLOOKUP($L76,Data_Validation!$A:$D,1,0)</f>
        <v>173C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1349</v>
      </c>
      <c r="B77" s="718" t="s">
        <v>591</v>
      </c>
      <c r="C77" s="720"/>
      <c r="D77" s="720"/>
      <c r="E77" s="720"/>
      <c r="F77" s="718" t="s">
        <v>1</v>
      </c>
      <c r="G77" s="718" t="s">
        <v>2456</v>
      </c>
      <c r="H77" s="666" t="s">
        <v>2971</v>
      </c>
      <c r="I77" s="665">
        <v>189.95</v>
      </c>
      <c r="J77" s="665">
        <v>0</v>
      </c>
      <c r="K77" s="665">
        <v>189.95</v>
      </c>
      <c r="L77" s="149" t="str">
        <f t="shared" si="5"/>
        <v>175A</v>
      </c>
      <c r="M77" s="150" t="str">
        <f t="shared" si="6"/>
        <v>TAUX M/O CLIENT BMW</v>
      </c>
      <c r="N77" s="151">
        <f>+IF(OR($Q77=Parametres!$G$2,$Q77=Parametres!$G$3),I77,C77)</f>
        <v>189.95</v>
      </c>
      <c r="O77" s="151">
        <f>+IF(OR($Q77=Parametres!$G$2,$Q77=Parametres!$G$3),J77,D77)</f>
        <v>0</v>
      </c>
      <c r="P77" s="151">
        <f>+IF(OR($Q77=Parametres!$G$2,$Q77=Parametres!$G$3),K77,E77)</f>
        <v>189.95</v>
      </c>
      <c r="Q77" s="150" t="str">
        <f t="shared" si="7"/>
        <v>1-Mémo</v>
      </c>
      <c r="R77" s="149" t="str">
        <f t="shared" si="8"/>
        <v>175</v>
      </c>
      <c r="S77" s="150" t="str">
        <f t="shared" si="9"/>
        <v>_</v>
      </c>
      <c r="T77" s="152" t="str">
        <f>+VLOOKUP($L77,Data_Validation!$A:$D,1,0)</f>
        <v>175A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1350</v>
      </c>
      <c r="B78" s="718" t="s">
        <v>592</v>
      </c>
      <c r="C78" s="720"/>
      <c r="D78" s="720"/>
      <c r="E78" s="720"/>
      <c r="F78" s="718" t="s">
        <v>1</v>
      </c>
      <c r="G78" s="718" t="s">
        <v>2457</v>
      </c>
      <c r="H78" s="673" t="s">
        <v>2971</v>
      </c>
      <c r="I78" s="672">
        <v>140.34</v>
      </c>
      <c r="J78" s="672">
        <v>0</v>
      </c>
      <c r="K78" s="672">
        <v>140.34</v>
      </c>
      <c r="L78" s="149" t="str">
        <f t="shared" si="5"/>
        <v>176A</v>
      </c>
      <c r="M78" s="150" t="str">
        <f t="shared" si="6"/>
        <v>TAUX M/O GARANTIE BMW</v>
      </c>
      <c r="N78" s="151">
        <f>+IF(OR($Q78=Parametres!$G$2,$Q78=Parametres!$G$3),I78,C78)</f>
        <v>140.34</v>
      </c>
      <c r="O78" s="151">
        <f>+IF(OR($Q78=Parametres!$G$2,$Q78=Parametres!$G$3),J78,D78)</f>
        <v>0</v>
      </c>
      <c r="P78" s="151">
        <f>+IF(OR($Q78=Parametres!$G$2,$Q78=Parametres!$G$3),K78,E78)</f>
        <v>140.34</v>
      </c>
      <c r="Q78" s="150" t="str">
        <f t="shared" si="7"/>
        <v>1-Mémo</v>
      </c>
      <c r="R78" s="149" t="str">
        <f t="shared" si="8"/>
        <v>176</v>
      </c>
      <c r="S78" s="150" t="str">
        <f t="shared" si="9"/>
        <v>_</v>
      </c>
      <c r="T78" s="152" t="str">
        <f>+VLOOKUP($L78,Data_Validation!$A:$D,1,0)</f>
        <v>176A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1351</v>
      </c>
      <c r="B79" s="718" t="s">
        <v>593</v>
      </c>
      <c r="C79" s="720"/>
      <c r="D79" s="720"/>
      <c r="E79" s="720"/>
      <c r="F79" s="718" t="s">
        <v>1</v>
      </c>
      <c r="G79" s="718" t="s">
        <v>2458</v>
      </c>
      <c r="H79" s="673" t="s">
        <v>2971</v>
      </c>
      <c r="I79" s="672">
        <v>189.95</v>
      </c>
      <c r="J79" s="672">
        <v>0</v>
      </c>
      <c r="K79" s="672">
        <v>189.95</v>
      </c>
      <c r="L79" s="149" t="str">
        <f t="shared" si="5"/>
        <v>177A</v>
      </c>
      <c r="M79" s="150" t="str">
        <f t="shared" si="6"/>
        <v>TAUX M/O INTERNE BMW</v>
      </c>
      <c r="N79" s="151">
        <f>+IF(OR($Q79=Parametres!$G$2,$Q79=Parametres!$G$3),I79,C79)</f>
        <v>189.95</v>
      </c>
      <c r="O79" s="151">
        <f>+IF(OR($Q79=Parametres!$G$2,$Q79=Parametres!$G$3),J79,D79)</f>
        <v>0</v>
      </c>
      <c r="P79" s="151">
        <f>+IF(OR($Q79=Parametres!$G$2,$Q79=Parametres!$G$3),K79,E79)</f>
        <v>189.95</v>
      </c>
      <c r="Q79" s="150" t="str">
        <f t="shared" si="7"/>
        <v>1-Mémo</v>
      </c>
      <c r="R79" s="149" t="str">
        <f t="shared" si="8"/>
        <v>177</v>
      </c>
      <c r="S79" s="150" t="str">
        <f t="shared" si="9"/>
        <v>_</v>
      </c>
      <c r="T79" s="152" t="str">
        <f>+VLOOKUP($L79,Data_Validation!$A:$D,1,0)</f>
        <v>177A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1352</v>
      </c>
      <c r="B80" s="718" t="s">
        <v>1353</v>
      </c>
      <c r="C80" s="720"/>
      <c r="D80" s="720"/>
      <c r="E80" s="720"/>
      <c r="F80" s="718" t="s">
        <v>1</v>
      </c>
      <c r="G80" s="718" t="s">
        <v>2458</v>
      </c>
      <c r="H80" s="607" t="s">
        <v>2971</v>
      </c>
      <c r="I80" s="609">
        <v>80</v>
      </c>
      <c r="J80" s="609">
        <v>0</v>
      </c>
      <c r="K80" s="609">
        <v>80</v>
      </c>
      <c r="L80" s="149" t="str">
        <f t="shared" si="5"/>
        <v>177S</v>
      </c>
      <c r="M80" s="150" t="str">
        <f t="shared" si="6"/>
        <v>TAUX M/O PROGRAMME SPA BMW</v>
      </c>
      <c r="N80" s="151">
        <f>+IF(OR($Q80=Parametres!$G$2,$Q80=Parametres!$G$3),I80,C80)</f>
        <v>80</v>
      </c>
      <c r="O80" s="504">
        <f>+IF(OR($Q80=Parametres!$G$2,$Q80=Parametres!$G$3),J80,D80)</f>
        <v>0</v>
      </c>
      <c r="P80" s="151">
        <f>+IF(OR($Q80=Parametres!$G$2,$Q80=Parametres!$G$3),K80,E80)</f>
        <v>80</v>
      </c>
      <c r="Q80" s="150" t="str">
        <f t="shared" si="7"/>
        <v>1-Mémo</v>
      </c>
      <c r="R80" s="149" t="str">
        <f t="shared" si="8"/>
        <v>177</v>
      </c>
      <c r="S80" s="150" t="str">
        <f t="shared" si="9"/>
        <v>_</v>
      </c>
      <c r="T80" s="152" t="str">
        <f>+VLOOKUP($L80,Data_Validation!$A:$D,1,0)</f>
        <v>177S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1354</v>
      </c>
      <c r="B81" s="718" t="s">
        <v>594</v>
      </c>
      <c r="C81" s="720"/>
      <c r="D81" s="720"/>
      <c r="E81" s="720"/>
      <c r="F81" s="718" t="s">
        <v>1</v>
      </c>
      <c r="G81" s="718" t="s">
        <v>2459</v>
      </c>
      <c r="H81" s="673" t="s">
        <v>2971</v>
      </c>
      <c r="I81" s="672">
        <v>128.82</v>
      </c>
      <c r="J81" s="672">
        <v>22.42</v>
      </c>
      <c r="K81" s="672">
        <v>151.24</v>
      </c>
      <c r="L81" s="149" t="str">
        <f t="shared" si="5"/>
        <v>178D</v>
      </c>
      <c r="M81" s="150" t="str">
        <f t="shared" si="6"/>
        <v>PRODUCTIVITE TECHNICIEN</v>
      </c>
      <c r="N81" s="151">
        <f>+IF(OR($Q81=Parametres!$G$2,$Q81=Parametres!$G$3),I81,C81)</f>
        <v>128.82</v>
      </c>
      <c r="O81" s="151">
        <f>+IF(OR($Q81=Parametres!$G$2,$Q81=Parametres!$G$3),J81,D81)</f>
        <v>22.42</v>
      </c>
      <c r="P81" s="151">
        <f>+IF(OR($Q81=Parametres!$G$2,$Q81=Parametres!$G$3),K81,E81)</f>
        <v>151.24</v>
      </c>
      <c r="Q81" s="150" t="str">
        <f t="shared" si="7"/>
        <v>1-Mémo</v>
      </c>
      <c r="R81" s="149" t="str">
        <f t="shared" si="8"/>
        <v>178</v>
      </c>
      <c r="S81" s="150" t="str">
        <f t="shared" si="9"/>
        <v>_</v>
      </c>
      <c r="T81" s="152" t="str">
        <f>+VLOOKUP($L81,Data_Validation!$A:$D,1,0)</f>
        <v>178D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1355</v>
      </c>
      <c r="B82" s="671" t="s">
        <v>595</v>
      </c>
      <c r="C82" s="672"/>
      <c r="D82" s="672"/>
      <c r="E82" s="672"/>
      <c r="F82" s="671" t="s">
        <v>1</v>
      </c>
      <c r="G82" s="671" t="s">
        <v>595</v>
      </c>
      <c r="H82" s="666" t="s">
        <v>2971</v>
      </c>
      <c r="I82" s="665">
        <v>0.62</v>
      </c>
      <c r="J82" s="665">
        <v>0.21</v>
      </c>
      <c r="K82" s="665">
        <v>0.83</v>
      </c>
      <c r="L82" s="149" t="str">
        <f t="shared" si="5"/>
        <v>179</v>
      </c>
      <c r="M82" s="150" t="str">
        <f t="shared" si="6"/>
        <v>NOMBRE DE JOURS OUVRABLE SERVICE</v>
      </c>
      <c r="N82" s="151">
        <f>+IF(OR($Q82=Parametres!$G$2,$Q82=Parametres!$G$3),I82,C82)</f>
        <v>0.62</v>
      </c>
      <c r="O82" s="151">
        <f>+IF(OR($Q82=Parametres!$G$2,$Q82=Parametres!$G$3),J82,D82)</f>
        <v>0.21</v>
      </c>
      <c r="P82" s="151">
        <f>+IF(OR($Q82=Parametres!$G$2,$Q82=Parametres!$G$3),K82,E82)</f>
        <v>0.83</v>
      </c>
      <c r="Q82" s="150" t="str">
        <f t="shared" si="7"/>
        <v>1-Mémo</v>
      </c>
      <c r="R82" s="149" t="str">
        <f t="shared" si="8"/>
        <v>179</v>
      </c>
      <c r="S82" s="150" t="str">
        <f t="shared" si="9"/>
        <v>_</v>
      </c>
      <c r="T82" s="152" t="str">
        <f>+VLOOKUP($L82,Data_Validation!$A:$D,1,0)</f>
        <v>179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358</v>
      </c>
      <c r="B83" s="718" t="s">
        <v>371</v>
      </c>
      <c r="C83" s="720">
        <v>700</v>
      </c>
      <c r="D83" s="720">
        <v>0</v>
      </c>
      <c r="E83" s="720">
        <v>700</v>
      </c>
      <c r="F83" s="718" t="s">
        <v>2226</v>
      </c>
      <c r="G83" s="718" t="s">
        <v>371</v>
      </c>
      <c r="H83" s="673" t="s">
        <v>2971</v>
      </c>
      <c r="I83" s="672"/>
      <c r="J83" s="672"/>
      <c r="K83" s="672"/>
      <c r="L83" s="149" t="str">
        <f t="shared" si="5"/>
        <v>200</v>
      </c>
      <c r="M83" s="150" t="str">
        <f t="shared" si="6"/>
        <v>PETITE CAISSE</v>
      </c>
      <c r="N83" s="151">
        <f>+IF(OR($Q83=Parametres!$G$2,$Q83=Parametres!$G$3),I83,C83)</f>
        <v>700</v>
      </c>
      <c r="O83" s="151">
        <f>+IF(OR($Q83=Parametres!$G$2,$Q83=Parametres!$G$3),J83,D83)</f>
        <v>0</v>
      </c>
      <c r="P83" s="151">
        <f>+IF(OR($Q83=Parametres!$G$2,$Q83=Parametres!$G$3),K83,E83)</f>
        <v>700</v>
      </c>
      <c r="Q83" s="150" t="str">
        <f t="shared" si="7"/>
        <v>2-Actifs</v>
      </c>
      <c r="R83" s="149" t="str">
        <f t="shared" si="8"/>
        <v>200</v>
      </c>
      <c r="S83" s="150" t="str">
        <f t="shared" si="9"/>
        <v>_</v>
      </c>
      <c r="T83" s="152" t="str">
        <f>+VLOOKUP($L83,Data_Validation!$A:$D,1,0)</f>
        <v>200</v>
      </c>
      <c r="U83" s="152" t="str">
        <f>+VLOOKUP($L83,Data_Validation!$A:$D,3,0)</f>
        <v>Bilan</v>
      </c>
      <c r="V83" s="152" t="str">
        <f>+VLOOKUP($L83,Data_Validation!$A:$D,4,0)</f>
        <v>encaisse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1069</v>
      </c>
      <c r="B84" s="718" t="s">
        <v>359</v>
      </c>
      <c r="C84" s="720">
        <v>708422.28</v>
      </c>
      <c r="D84" s="720">
        <v>40314.79</v>
      </c>
      <c r="E84" s="720">
        <v>748737.07</v>
      </c>
      <c r="F84" s="718" t="s">
        <v>2226</v>
      </c>
      <c r="G84" s="718" t="s">
        <v>359</v>
      </c>
      <c r="H84" s="673" t="s">
        <v>2971</v>
      </c>
      <c r="I84" s="672"/>
      <c r="J84" s="672"/>
      <c r="K84" s="672"/>
      <c r="L84" s="149" t="str">
        <f t="shared" si="5"/>
        <v>202</v>
      </c>
      <c r="M84" s="150" t="str">
        <f t="shared" si="6"/>
        <v>ENCAISSE</v>
      </c>
      <c r="N84" s="151">
        <f>+IF(OR($Q84=Parametres!$G$2,$Q84=Parametres!$G$3),I84,C84)</f>
        <v>708422.28</v>
      </c>
      <c r="O84" s="151">
        <f>+IF(OR($Q84=Parametres!$G$2,$Q84=Parametres!$G$3),J84,D84)</f>
        <v>40314.79</v>
      </c>
      <c r="P84" s="151">
        <f>+IF(OR($Q84=Parametres!$G$2,$Q84=Parametres!$G$3),K84,E84)</f>
        <v>748737.07</v>
      </c>
      <c r="Q84" s="150" t="str">
        <f t="shared" si="7"/>
        <v>2-Actifs</v>
      </c>
      <c r="R84" s="149" t="str">
        <f t="shared" si="8"/>
        <v>202</v>
      </c>
      <c r="S84" s="150" t="str">
        <f t="shared" si="9"/>
        <v>_</v>
      </c>
      <c r="T84" s="152" t="str">
        <f>+VLOOKUP($L84,Data_Validation!$A:$D,1,0)</f>
        <v>202</v>
      </c>
      <c r="U84" s="152" t="str">
        <f>+VLOOKUP($L84,Data_Validation!$A:$D,3,0)</f>
        <v>Bilan</v>
      </c>
      <c r="V84" s="152" t="str">
        <f>+VLOOKUP($L84,Data_Validation!$A:$D,4,0)</f>
        <v>encaisse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2337</v>
      </c>
      <c r="B85" s="718" t="s">
        <v>2338</v>
      </c>
      <c r="C85" s="720">
        <v>900000</v>
      </c>
      <c r="D85" s="720">
        <v>0</v>
      </c>
      <c r="E85" s="720">
        <v>900000</v>
      </c>
      <c r="F85" s="718" t="s">
        <v>2226</v>
      </c>
      <c r="G85" s="718" t="s">
        <v>359</v>
      </c>
      <c r="H85" s="673" t="s">
        <v>2971</v>
      </c>
      <c r="I85" s="672"/>
      <c r="J85" s="672"/>
      <c r="K85" s="672"/>
      <c r="L85" s="149" t="str">
        <f t="shared" si="5"/>
        <v>202B</v>
      </c>
      <c r="M85" s="150" t="str">
        <f t="shared" si="6"/>
        <v>PAIEMENTS FORFAITAIRES FLOOR PLAN</v>
      </c>
      <c r="N85" s="151">
        <f>+IF(OR($Q85=Parametres!$G$2,$Q85=Parametres!$G$3),I85,C85)</f>
        <v>900000</v>
      </c>
      <c r="O85" s="151">
        <f>+IF(OR($Q85=Parametres!$G$2,$Q85=Parametres!$G$3),J85,D85)</f>
        <v>0</v>
      </c>
      <c r="P85" s="151">
        <f>+IF(OR($Q85=Parametres!$G$2,$Q85=Parametres!$G$3),K85,E85)</f>
        <v>900000</v>
      </c>
      <c r="Q85" s="150" t="str">
        <f t="shared" si="7"/>
        <v>2-Actifs</v>
      </c>
      <c r="R85" s="149" t="str">
        <f t="shared" si="8"/>
        <v>202</v>
      </c>
      <c r="S85" s="150" t="str">
        <f t="shared" si="9"/>
        <v>_</v>
      </c>
      <c r="T85" s="152" t="str">
        <f>+VLOOKUP($L85,Data_Validation!$A:$D,1,0)</f>
        <v>202B</v>
      </c>
      <c r="U85" s="152" t="str">
        <f>+VLOOKUP($L85,Data_Validation!$A:$D,3,0)</f>
        <v>bilan</v>
      </c>
      <c r="V85" s="152" t="str">
        <f>+VLOOKUP($L85,Data_Validation!$A:$D,4,0)</f>
        <v>Encaisse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2959</v>
      </c>
      <c r="B86" s="718" t="s">
        <v>2960</v>
      </c>
      <c r="C86" s="720">
        <v>325000</v>
      </c>
      <c r="D86" s="720">
        <v>25000</v>
      </c>
      <c r="E86" s="720">
        <v>350000</v>
      </c>
      <c r="F86" s="718" t="s">
        <v>2226</v>
      </c>
      <c r="G86" s="718" t="s">
        <v>359</v>
      </c>
      <c r="H86" s="609" t="s">
        <v>2971</v>
      </c>
      <c r="I86" s="608"/>
      <c r="J86" s="608"/>
      <c r="K86" s="608"/>
      <c r="L86" s="149" t="str">
        <f t="shared" si="5"/>
        <v>202I</v>
      </c>
      <c r="M86" s="150" t="str">
        <f t="shared" si="6"/>
        <v>RECEVABLE AVANCE COMPLEXE</v>
      </c>
      <c r="N86" s="151">
        <f>+IF(OR($Q86=Parametres!$G$2,$Q86=Parametres!$G$3),I86,C86)</f>
        <v>325000</v>
      </c>
      <c r="O86" s="151">
        <f>+IF(OR($Q86=Parametres!$G$2,$Q86=Parametres!$G$3),J86,D86)</f>
        <v>25000</v>
      </c>
      <c r="P86" s="151">
        <f>+IF(OR($Q86=Parametres!$G$2,$Q86=Parametres!$G$3),K86,E86)</f>
        <v>350000</v>
      </c>
      <c r="Q86" s="150" t="str">
        <f t="shared" si="7"/>
        <v>2-Actifs</v>
      </c>
      <c r="R86" s="149" t="str">
        <f t="shared" si="8"/>
        <v>202</v>
      </c>
      <c r="S86" s="150" t="str">
        <f t="shared" si="9"/>
        <v>_</v>
      </c>
      <c r="T86" s="152" t="str">
        <f>+VLOOKUP($L86,Data_Validation!$A:$D,1,0)</f>
        <v>202I</v>
      </c>
      <c r="U86" s="152" t="str">
        <f>+VLOOKUP($L86,Data_Validation!$A:$D,3,0)</f>
        <v>Bilan</v>
      </c>
      <c r="V86" s="152" t="str">
        <f>+VLOOKUP($L86,Data_Validation!$A:$D,4,0)</f>
        <v>Encaisse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399</v>
      </c>
      <c r="B87" s="718" t="s">
        <v>370</v>
      </c>
      <c r="C87" s="719">
        <v>1145657.73</v>
      </c>
      <c r="D87" s="719">
        <v>312644.02</v>
      </c>
      <c r="E87" s="719">
        <v>1458301.75</v>
      </c>
      <c r="F87" s="718" t="s">
        <v>2226</v>
      </c>
      <c r="G87" s="718" t="s">
        <v>370</v>
      </c>
      <c r="H87" s="719" t="s">
        <v>2971</v>
      </c>
      <c r="I87" s="720"/>
      <c r="J87" s="720"/>
      <c r="K87" s="720"/>
      <c r="L87" s="149" t="str">
        <f t="shared" si="5"/>
        <v>205</v>
      </c>
      <c r="M87" s="150" t="str">
        <f t="shared" si="6"/>
        <v>CONTRATS EN TRANSIT</v>
      </c>
      <c r="N87" s="151">
        <f>+IF(OR($Q87=Parametres!$G$2,$Q87=Parametres!$G$3),I87,C87)</f>
        <v>1145657.73</v>
      </c>
      <c r="O87" s="504">
        <f>+IF(OR($Q87=Parametres!$G$2,$Q87=Parametres!$G$3),J87,D87)</f>
        <v>312644.02</v>
      </c>
      <c r="P87" s="151">
        <f>+IF(OR($Q87=Parametres!$G$2,$Q87=Parametres!$G$3),K87,E87)</f>
        <v>1458301.75</v>
      </c>
      <c r="Q87" s="150" t="str">
        <f t="shared" si="7"/>
        <v>2-Actifs</v>
      </c>
      <c r="R87" s="149" t="str">
        <f t="shared" si="8"/>
        <v>205</v>
      </c>
      <c r="S87" s="150" t="str">
        <f t="shared" si="9"/>
        <v>_</v>
      </c>
      <c r="T87" s="152" t="str">
        <f>+VLOOKUP($L87,Data_Validation!$A:$D,1,0)</f>
        <v>205</v>
      </c>
      <c r="U87" s="152" t="str">
        <f>+VLOOKUP($L87,Data_Validation!$A:$D,3,0)</f>
        <v>Bilan</v>
      </c>
      <c r="V87" s="152" t="str">
        <f>+VLOOKUP($L87,Data_Validation!$A:$D,4,0)</f>
        <v>Recevables Contrats en Transit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1093</v>
      </c>
      <c r="B88" s="671" t="s">
        <v>375</v>
      </c>
      <c r="C88" s="672">
        <v>150426.16</v>
      </c>
      <c r="D88" s="672">
        <v>-148392.42000000001</v>
      </c>
      <c r="E88" s="672">
        <v>2033.74</v>
      </c>
      <c r="F88" s="671" t="s">
        <v>2226</v>
      </c>
      <c r="G88" s="671" t="s">
        <v>375</v>
      </c>
      <c r="H88" s="666" t="s">
        <v>2971</v>
      </c>
      <c r="I88" s="665"/>
      <c r="J88" s="665"/>
      <c r="K88" s="665"/>
      <c r="L88" s="149" t="str">
        <f t="shared" si="5"/>
        <v>210</v>
      </c>
      <c r="M88" s="150" t="str">
        <f t="shared" si="6"/>
        <v>RECEVABLES VEHICULES</v>
      </c>
      <c r="N88" s="151">
        <f>+IF(OR($Q88=Parametres!$G$2,$Q88=Parametres!$G$3),I88,C88)</f>
        <v>150426.16</v>
      </c>
      <c r="O88" s="151">
        <f>+IF(OR($Q88=Parametres!$G$2,$Q88=Parametres!$G$3),J88,D88)</f>
        <v>-148392.42000000001</v>
      </c>
      <c r="P88" s="151">
        <f>+IF(OR($Q88=Parametres!$G$2,$Q88=Parametres!$G$3),K88,E88)</f>
        <v>2033.74</v>
      </c>
      <c r="Q88" s="150" t="str">
        <f t="shared" si="7"/>
        <v>2-Actifs</v>
      </c>
      <c r="R88" s="149" t="str">
        <f t="shared" si="8"/>
        <v>210</v>
      </c>
      <c r="S88" s="150" t="str">
        <f t="shared" si="9"/>
        <v>_</v>
      </c>
      <c r="T88" s="152" t="str">
        <f>+VLOOKUP($L88,Data_Validation!$A:$D,1,0)</f>
        <v>210</v>
      </c>
      <c r="U88" s="152" t="str">
        <f>+VLOOKUP($L88,Data_Validation!$A:$D,3,0)</f>
        <v>Bilan</v>
      </c>
      <c r="V88" s="152" t="str">
        <f>+VLOOKUP($L88,Data_Validation!$A:$D,4,0)</f>
        <v>Recevables Véhicules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1073</v>
      </c>
      <c r="B89" s="718" t="s">
        <v>397</v>
      </c>
      <c r="C89" s="720">
        <v>140903.35</v>
      </c>
      <c r="D89" s="720">
        <v>3490.76</v>
      </c>
      <c r="E89" s="720">
        <v>144394.10999999999</v>
      </c>
      <c r="F89" s="718" t="s">
        <v>2226</v>
      </c>
      <c r="G89" s="718" t="s">
        <v>375</v>
      </c>
      <c r="H89" s="673" t="s">
        <v>2971</v>
      </c>
      <c r="I89" s="672"/>
      <c r="J89" s="672"/>
      <c r="K89" s="672"/>
      <c r="L89" s="149" t="str">
        <f t="shared" si="5"/>
        <v>210A</v>
      </c>
      <c r="M89" s="150" t="str">
        <f t="shared" si="6"/>
        <v>WHOLESALE &amp; ECHANGE A/R</v>
      </c>
      <c r="N89" s="151">
        <f>+IF(OR($Q89=Parametres!$G$2,$Q89=Parametres!$G$3),I89,C89)</f>
        <v>140903.35</v>
      </c>
      <c r="O89" s="504">
        <f>+IF(OR($Q89=Parametres!$G$2,$Q89=Parametres!$G$3),J89,D89)</f>
        <v>3490.76</v>
      </c>
      <c r="P89" s="151">
        <f>+IF(OR($Q89=Parametres!$G$2,$Q89=Parametres!$G$3),K89,E89)</f>
        <v>144394.10999999999</v>
      </c>
      <c r="Q89" s="150" t="str">
        <f t="shared" si="7"/>
        <v>2-Actifs</v>
      </c>
      <c r="R89" s="149" t="str">
        <f t="shared" si="8"/>
        <v>210</v>
      </c>
      <c r="S89" s="150" t="str">
        <f t="shared" si="9"/>
        <v>_</v>
      </c>
      <c r="T89" s="152" t="str">
        <f>+VLOOKUP($L89,Data_Validation!$A:$D,1,0)</f>
        <v>210A</v>
      </c>
      <c r="U89" s="152" t="str">
        <f>+VLOOKUP($L89,Data_Validation!$A:$D,3,0)</f>
        <v>Bilan</v>
      </c>
      <c r="V89" s="152" t="str">
        <f>+VLOOKUP($L89,Data_Validation!$A:$D,4,0)</f>
        <v>Recevables Véhicules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2339</v>
      </c>
      <c r="B90" s="718" t="s">
        <v>2340</v>
      </c>
      <c r="C90" s="720">
        <v>0</v>
      </c>
      <c r="D90" s="720">
        <v>85400</v>
      </c>
      <c r="E90" s="720">
        <v>85400</v>
      </c>
      <c r="F90" s="718" t="s">
        <v>2226</v>
      </c>
      <c r="G90" s="718" t="s">
        <v>375</v>
      </c>
      <c r="H90" s="666" t="s">
        <v>2971</v>
      </c>
      <c r="I90" s="665"/>
      <c r="J90" s="665"/>
      <c r="K90" s="665"/>
      <c r="L90" s="149" t="str">
        <f t="shared" si="5"/>
        <v>210L</v>
      </c>
      <c r="M90" s="150" t="str">
        <f t="shared" si="6"/>
        <v>A/R INTERCO WHOLESALE &amp; ECHANGE</v>
      </c>
      <c r="N90" s="151">
        <f>+IF(OR($Q90=Parametres!$G$2,$Q90=Parametres!$G$3),I90,C90)</f>
        <v>0</v>
      </c>
      <c r="O90" s="151">
        <f>+IF(OR($Q90=Parametres!$G$2,$Q90=Parametres!$G$3),J90,D90)</f>
        <v>85400</v>
      </c>
      <c r="P90" s="151">
        <f>+IF(OR($Q90=Parametres!$G$2,$Q90=Parametres!$G$3),K90,E90)</f>
        <v>85400</v>
      </c>
      <c r="Q90" s="150" t="str">
        <f t="shared" si="7"/>
        <v>2-Actifs</v>
      </c>
      <c r="R90" s="149" t="str">
        <f t="shared" si="8"/>
        <v>210</v>
      </c>
      <c r="S90" s="150" t="str">
        <f t="shared" si="9"/>
        <v>_</v>
      </c>
      <c r="T90" s="152" t="str">
        <f>+VLOOKUP($L90,Data_Validation!$A:$D,1,0)</f>
        <v>210L</v>
      </c>
      <c r="U90" s="152" t="str">
        <f>+VLOOKUP($L90,Data_Validation!$A:$D,3,0)</f>
        <v>bilan</v>
      </c>
      <c r="V90" s="152" t="str">
        <f>+VLOOKUP($L90,Data_Validation!$A:$D,4,0)</f>
        <v>Recevables Intercos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444</v>
      </c>
      <c r="B91" s="718" t="s">
        <v>372</v>
      </c>
      <c r="C91" s="719">
        <v>112588.88</v>
      </c>
      <c r="D91" s="719">
        <v>-21981.279999999999</v>
      </c>
      <c r="E91" s="719">
        <v>90607.6</v>
      </c>
      <c r="F91" s="718" t="s">
        <v>2226</v>
      </c>
      <c r="G91" s="718" t="s">
        <v>372</v>
      </c>
      <c r="H91" s="719" t="s">
        <v>2971</v>
      </c>
      <c r="I91" s="720"/>
      <c r="J91" s="720"/>
      <c r="K91" s="720"/>
      <c r="L91" s="149" t="str">
        <f t="shared" si="5"/>
        <v>220</v>
      </c>
      <c r="M91" s="150" t="str">
        <f t="shared" si="6"/>
        <v>RECEVABLES PIECES ET SERVICE</v>
      </c>
      <c r="N91" s="151">
        <f>+IF(OR($Q91=Parametres!$G$2,$Q91=Parametres!$G$3),I91,C91)</f>
        <v>112588.88</v>
      </c>
      <c r="O91" s="505">
        <f>+IF(OR($Q91=Parametres!$G$2,$Q91=Parametres!$G$3),J91,D91)</f>
        <v>-21981.279999999999</v>
      </c>
      <c r="P91" s="151">
        <f>+IF(OR($Q91=Parametres!$G$2,$Q91=Parametres!$G$3),K91,E91)</f>
        <v>90607.6</v>
      </c>
      <c r="Q91" s="150" t="str">
        <f t="shared" si="7"/>
        <v>2-Actifs</v>
      </c>
      <c r="R91" s="149" t="str">
        <f t="shared" si="8"/>
        <v>220</v>
      </c>
      <c r="S91" s="150" t="str">
        <f t="shared" si="9"/>
        <v>_</v>
      </c>
      <c r="T91" s="152" t="str">
        <f>+VLOOKUP($L91,Data_Validation!$A:$D,1,0)</f>
        <v>220</v>
      </c>
      <c r="U91" s="152" t="str">
        <f>+VLOOKUP($L91,Data_Validation!$A:$D,3,0)</f>
        <v>Bilan</v>
      </c>
      <c r="V91" s="152" t="str">
        <f>+VLOOKUP($L91,Data_Validation!$A:$D,4,0)</f>
        <v>Recevables Pièces et Service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2332</v>
      </c>
      <c r="B92" s="718" t="s">
        <v>2333</v>
      </c>
      <c r="C92" s="720">
        <v>1589.53</v>
      </c>
      <c r="D92" s="720">
        <v>130.61000000000001</v>
      </c>
      <c r="E92" s="720">
        <v>1720.14</v>
      </c>
      <c r="F92" s="718" t="s">
        <v>2226</v>
      </c>
      <c r="G92" s="718" t="s">
        <v>372</v>
      </c>
      <c r="H92" s="719" t="s">
        <v>2971</v>
      </c>
      <c r="I92" s="719"/>
      <c r="J92" s="719"/>
      <c r="K92" s="719"/>
      <c r="L92" s="149" t="str">
        <f t="shared" si="5"/>
        <v>220A</v>
      </c>
      <c r="M92" s="150" t="str">
        <f t="shared" si="6"/>
        <v>ASS COLLECTIVE EMPLOYES A/R</v>
      </c>
      <c r="N92" s="151">
        <f>+IF(OR($Q92=Parametres!$G$2,$Q92=Parametres!$G$3),I92,C92)</f>
        <v>1589.53</v>
      </c>
      <c r="O92" s="151">
        <f>+IF(OR($Q92=Parametres!$G$2,$Q92=Parametres!$G$3),J92,D92)</f>
        <v>130.61000000000001</v>
      </c>
      <c r="P92" s="151">
        <f>+IF(OR($Q92=Parametres!$G$2,$Q92=Parametres!$G$3),K92,E92)</f>
        <v>1720.14</v>
      </c>
      <c r="Q92" s="150" t="str">
        <f t="shared" si="7"/>
        <v>2-Actifs</v>
      </c>
      <c r="R92" s="149" t="str">
        <f t="shared" si="8"/>
        <v>220</v>
      </c>
      <c r="S92" s="150" t="str">
        <f t="shared" si="9"/>
        <v>_</v>
      </c>
      <c r="T92" s="152" t="str">
        <f>+VLOOKUP($L92,Data_Validation!$A:$D,1,0)</f>
        <v>220A</v>
      </c>
      <c r="U92" s="152" t="str">
        <f>+VLOOKUP($L92,Data_Validation!$A:$D,3,0)</f>
        <v>Bilan</v>
      </c>
      <c r="V92" s="152" t="str">
        <f>+VLOOKUP($L92,Data_Validation!$A:$D,4,0)</f>
        <v>Recevables Autres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2941</v>
      </c>
      <c r="B93" s="718" t="s">
        <v>2942</v>
      </c>
      <c r="C93" s="720">
        <v>150</v>
      </c>
      <c r="D93" s="720">
        <v>600</v>
      </c>
      <c r="E93" s="720">
        <v>750</v>
      </c>
      <c r="F93" s="718" t="s">
        <v>2226</v>
      </c>
      <c r="G93" s="718" t="s">
        <v>372</v>
      </c>
      <c r="H93" s="666" t="s">
        <v>2971</v>
      </c>
      <c r="I93" s="665"/>
      <c r="J93" s="665"/>
      <c r="K93" s="665"/>
      <c r="L93" s="149" t="str">
        <f t="shared" si="5"/>
        <v>220C</v>
      </c>
      <c r="M93" s="150" t="str">
        <f t="shared" si="6"/>
        <v>RECEVABLE RECOURS COLLECTIF</v>
      </c>
      <c r="N93" s="151">
        <f>+IF(OR($Q93=Parametres!$G$2,$Q93=Parametres!$G$3),I93,C93)</f>
        <v>150</v>
      </c>
      <c r="O93" s="151">
        <f>+IF(OR($Q93=Parametres!$G$2,$Q93=Parametres!$G$3),J93,D93)</f>
        <v>600</v>
      </c>
      <c r="P93" s="151">
        <f>+IF(OR($Q93=Parametres!$G$2,$Q93=Parametres!$G$3),K93,E93)</f>
        <v>750</v>
      </c>
      <c r="Q93" s="150" t="str">
        <f t="shared" si="7"/>
        <v>2-Actifs</v>
      </c>
      <c r="R93" s="149" t="str">
        <f t="shared" si="8"/>
        <v>220</v>
      </c>
      <c r="S93" s="150" t="str">
        <f t="shared" si="9"/>
        <v>_</v>
      </c>
      <c r="T93" s="152" t="str">
        <f>+VLOOKUP($L93,Data_Validation!$A:$D,1,0)</f>
        <v>220C</v>
      </c>
      <c r="U93" s="152" t="str">
        <f>+VLOOKUP($L93,Data_Validation!$A:$D,3,0)</f>
        <v>Bilan</v>
      </c>
      <c r="V93" s="152" t="str">
        <f>+VLOOKUP($L93,Data_Validation!$A:$D,4,0)</f>
        <v>Recevables Autres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2197</v>
      </c>
      <c r="B94" s="718" t="s">
        <v>2198</v>
      </c>
      <c r="C94" s="720">
        <v>6593.42</v>
      </c>
      <c r="D94" s="720">
        <v>-5593.42</v>
      </c>
      <c r="E94" s="720">
        <v>1000</v>
      </c>
      <c r="F94" s="718" t="s">
        <v>2226</v>
      </c>
      <c r="G94" s="718" t="s">
        <v>372</v>
      </c>
      <c r="H94" s="609" t="s">
        <v>2971</v>
      </c>
      <c r="I94" s="608"/>
      <c r="J94" s="608"/>
      <c r="K94" s="608"/>
      <c r="L94" s="149" t="str">
        <f t="shared" si="5"/>
        <v>220L</v>
      </c>
      <c r="M94" s="150" t="str">
        <f t="shared" si="6"/>
        <v>A/R INTERCOS P&amp;S</v>
      </c>
      <c r="N94" s="151">
        <f>+IF(OR($Q94=Parametres!$G$2,$Q94=Parametres!$G$3),I94,C94)</f>
        <v>6593.42</v>
      </c>
      <c r="O94" s="151">
        <f>+IF(OR($Q94=Parametres!$G$2,$Q94=Parametres!$G$3),J94,D94)</f>
        <v>-5593.42</v>
      </c>
      <c r="P94" s="151">
        <f>+IF(OR($Q94=Parametres!$G$2,$Q94=Parametres!$G$3),K94,E94)</f>
        <v>1000</v>
      </c>
      <c r="Q94" s="150" t="str">
        <f t="shared" si="7"/>
        <v>2-Actifs</v>
      </c>
      <c r="R94" s="149" t="str">
        <f t="shared" si="8"/>
        <v>220</v>
      </c>
      <c r="S94" s="150" t="str">
        <f t="shared" si="9"/>
        <v>_</v>
      </c>
      <c r="T94" s="152" t="str">
        <f>+VLOOKUP($L94,Data_Validation!$A:$D,1,0)</f>
        <v>220L</v>
      </c>
      <c r="U94" s="152" t="str">
        <f>+VLOOKUP($L94,Data_Validation!$A:$D,3,0)</f>
        <v>Bilan</v>
      </c>
      <c r="V94" s="152" t="str">
        <f>+VLOOKUP($L94,Data_Validation!$A:$D,4,0)</f>
        <v>Recevables Intercos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1114</v>
      </c>
      <c r="B95" s="718" t="s">
        <v>385</v>
      </c>
      <c r="C95" s="719">
        <v>129096.56</v>
      </c>
      <c r="D95" s="719">
        <v>-36011.17</v>
      </c>
      <c r="E95" s="719">
        <v>93085.39</v>
      </c>
      <c r="F95" s="718" t="s">
        <v>2226</v>
      </c>
      <c r="G95" s="718" t="s">
        <v>385</v>
      </c>
      <c r="H95" s="719" t="s">
        <v>2971</v>
      </c>
      <c r="I95" s="720"/>
      <c r="J95" s="720"/>
      <c r="K95" s="720"/>
      <c r="L95" s="149" t="str">
        <f t="shared" si="5"/>
        <v>221</v>
      </c>
      <c r="M95" s="150" t="str">
        <f t="shared" si="6"/>
        <v>BONIS A/R MANUFACTURIER</v>
      </c>
      <c r="N95" s="151">
        <f>+IF(OR($Q95=Parametres!$G$2,$Q95=Parametres!$G$3),I95,C95)</f>
        <v>129096.56</v>
      </c>
      <c r="O95" s="151">
        <f>+IF(OR($Q95=Parametres!$G$2,$Q95=Parametres!$G$3),J95,D95)</f>
        <v>-36011.17</v>
      </c>
      <c r="P95" s="151">
        <f>+IF(OR($Q95=Parametres!$G$2,$Q95=Parametres!$G$3),K95,E95)</f>
        <v>93085.39</v>
      </c>
      <c r="Q95" s="150" t="str">
        <f t="shared" si="7"/>
        <v>2-Actifs</v>
      </c>
      <c r="R95" s="149" t="str">
        <f t="shared" si="8"/>
        <v>221</v>
      </c>
      <c r="S95" s="150" t="str">
        <f t="shared" si="9"/>
        <v>_</v>
      </c>
      <c r="T95" s="152" t="str">
        <f>+VLOOKUP($L95,Data_Validation!$A:$D,1,0)</f>
        <v>221</v>
      </c>
      <c r="U95" s="152" t="str">
        <f>+VLOOKUP($L95,Data_Validation!$A:$D,3,0)</f>
        <v>Bilan</v>
      </c>
      <c r="V95" s="152" t="str">
        <f>+VLOOKUP($L95,Data_Validation!$A:$D,4,0)</f>
        <v>Recevables Manufacturier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1833</v>
      </c>
      <c r="B96" s="718" t="s">
        <v>451</v>
      </c>
      <c r="C96" s="720">
        <v>28876</v>
      </c>
      <c r="D96" s="720">
        <v>15970</v>
      </c>
      <c r="E96" s="720">
        <v>44846</v>
      </c>
      <c r="F96" s="718" t="s">
        <v>2226</v>
      </c>
      <c r="G96" s="718" t="s">
        <v>451</v>
      </c>
      <c r="H96" s="673" t="s">
        <v>2971</v>
      </c>
      <c r="I96" s="672"/>
      <c r="J96" s="672"/>
      <c r="K96" s="672"/>
      <c r="L96" s="149" t="str">
        <f t="shared" si="5"/>
        <v>221A</v>
      </c>
      <c r="M96" s="150" t="str">
        <f t="shared" si="6"/>
        <v>PROGRAMMES A/R MANUFACTURIER</v>
      </c>
      <c r="N96" s="151">
        <f>+IF(OR($Q96=Parametres!$G$2,$Q96=Parametres!$G$3),I96,C96)</f>
        <v>28876</v>
      </c>
      <c r="O96" s="151">
        <f>+IF(OR($Q96=Parametres!$G$2,$Q96=Parametres!$G$3),J96,D96)</f>
        <v>15970</v>
      </c>
      <c r="P96" s="151">
        <f>+IF(OR($Q96=Parametres!$G$2,$Q96=Parametres!$G$3),K96,E96)</f>
        <v>44846</v>
      </c>
      <c r="Q96" s="150" t="str">
        <f t="shared" si="7"/>
        <v>2-Actifs</v>
      </c>
      <c r="R96" s="149" t="str">
        <f t="shared" si="8"/>
        <v>221A</v>
      </c>
      <c r="S96" s="150" t="str">
        <f t="shared" si="9"/>
        <v>_</v>
      </c>
      <c r="T96" s="152" t="str">
        <f>+VLOOKUP($L96,Data_Validation!$A:$D,1,0)</f>
        <v>221A</v>
      </c>
      <c r="U96" s="152" t="str">
        <f>+VLOOKUP($L96,Data_Validation!$A:$D,3,0)</f>
        <v>Bilan</v>
      </c>
      <c r="V96" s="152" t="str">
        <f>+VLOOKUP($L96,Data_Validation!$A:$D,4,0)</f>
        <v>Recevables Manufacturier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1193</v>
      </c>
      <c r="B97" s="718" t="s">
        <v>1010</v>
      </c>
      <c r="C97" s="720">
        <v>16000</v>
      </c>
      <c r="D97" s="720">
        <v>-15925</v>
      </c>
      <c r="E97" s="720">
        <v>75</v>
      </c>
      <c r="F97" s="718" t="s">
        <v>2226</v>
      </c>
      <c r="G97" s="718" t="s">
        <v>451</v>
      </c>
      <c r="H97" s="607" t="s">
        <v>2971</v>
      </c>
      <c r="I97" s="608"/>
      <c r="J97" s="608"/>
      <c r="K97" s="608"/>
      <c r="L97" s="149" t="str">
        <f t="shared" si="5"/>
        <v>221C</v>
      </c>
      <c r="M97" s="150" t="str">
        <f t="shared" si="6"/>
        <v>ROULEZ VERT A RECEVOIR</v>
      </c>
      <c r="N97" s="151">
        <f>+IF(OR($Q97=Parametres!$G$2,$Q97=Parametres!$G$3),I97,C97)</f>
        <v>16000</v>
      </c>
      <c r="O97" s="504">
        <f>+IF(OR($Q97=Parametres!$G$2,$Q97=Parametres!$G$3),J97,D97)</f>
        <v>-15925</v>
      </c>
      <c r="P97" s="151">
        <f>+IF(OR($Q97=Parametres!$G$2,$Q97=Parametres!$G$3),K97,E97)</f>
        <v>75</v>
      </c>
      <c r="Q97" s="150" t="str">
        <f t="shared" si="7"/>
        <v>2-Actifs</v>
      </c>
      <c r="R97" s="149" t="str">
        <f t="shared" si="8"/>
        <v>221A</v>
      </c>
      <c r="S97" s="150" t="str">
        <f t="shared" si="9"/>
        <v>_</v>
      </c>
      <c r="T97" s="152" t="str">
        <f>+VLOOKUP($L97,Data_Validation!$A:$D,1,0)</f>
        <v>221C</v>
      </c>
      <c r="U97" s="152" t="str">
        <f>+VLOOKUP($L97,Data_Validation!$A:$D,3,0)</f>
        <v>Bilan</v>
      </c>
      <c r="V97" s="152" t="str">
        <f>+VLOOKUP($L97,Data_Validation!$A:$D,4,0)</f>
        <v>Recevables Autres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1788</v>
      </c>
      <c r="B98" s="718" t="s">
        <v>965</v>
      </c>
      <c r="C98" s="720">
        <v>13801.6</v>
      </c>
      <c r="D98" s="720">
        <v>-3939.04</v>
      </c>
      <c r="E98" s="720">
        <v>9862.56</v>
      </c>
      <c r="F98" s="718" t="s">
        <v>2226</v>
      </c>
      <c r="G98" s="718" t="s">
        <v>2247</v>
      </c>
      <c r="H98" s="673" t="s">
        <v>2971</v>
      </c>
      <c r="I98" s="672"/>
      <c r="J98" s="672"/>
      <c r="K98" s="672"/>
      <c r="L98" s="149" t="str">
        <f t="shared" si="5"/>
        <v>222A</v>
      </c>
      <c r="M98" s="150" t="str">
        <f t="shared" si="6"/>
        <v>RECLAMATION GARANTIE A/R BMW</v>
      </c>
      <c r="N98" s="151">
        <f>+IF(OR($Q98=Parametres!$G$2,$Q98=Parametres!$G$3),I98,C98)</f>
        <v>13801.6</v>
      </c>
      <c r="O98" s="151">
        <f>+IF(OR($Q98=Parametres!$G$2,$Q98=Parametres!$G$3),J98,D98)</f>
        <v>-3939.04</v>
      </c>
      <c r="P98" s="151">
        <f>+IF(OR($Q98=Parametres!$G$2,$Q98=Parametres!$G$3),K98,E98)</f>
        <v>9862.56</v>
      </c>
      <c r="Q98" s="150" t="str">
        <f t="shared" si="7"/>
        <v>2-Actifs</v>
      </c>
      <c r="R98" s="149" t="str">
        <f t="shared" si="8"/>
        <v>222</v>
      </c>
      <c r="S98" s="150" t="str">
        <f t="shared" si="9"/>
        <v>_</v>
      </c>
      <c r="T98" s="152" t="str">
        <f>+VLOOKUP($L98,Data_Validation!$A:$D,1,0)</f>
        <v>222A</v>
      </c>
      <c r="U98" s="152" t="str">
        <f>+VLOOKUP($L98,Data_Validation!$A:$D,3,0)</f>
        <v>Bilan</v>
      </c>
      <c r="V98" s="152" t="str">
        <f>+VLOOKUP($L98,Data_Validation!$A:$D,4,0)</f>
        <v>Recevables Garantie Manufacturier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1817</v>
      </c>
      <c r="B99" s="718" t="s">
        <v>392</v>
      </c>
      <c r="C99" s="720">
        <v>-7426.46</v>
      </c>
      <c r="D99" s="720">
        <v>0</v>
      </c>
      <c r="E99" s="720">
        <v>-7426.46</v>
      </c>
      <c r="F99" s="718" t="s">
        <v>2226</v>
      </c>
      <c r="G99" s="718" t="s">
        <v>392</v>
      </c>
      <c r="H99" s="666" t="s">
        <v>2971</v>
      </c>
      <c r="I99" s="665"/>
      <c r="J99" s="665"/>
      <c r="K99" s="665"/>
      <c r="L99" s="149" t="str">
        <f t="shared" si="5"/>
        <v>223</v>
      </c>
      <c r="M99" s="150" t="str">
        <f t="shared" si="6"/>
        <v>PROVISION CREANCE DOUTEUSE</v>
      </c>
      <c r="N99" s="151">
        <f>+IF(OR($Q99=Parametres!$G$2,$Q99=Parametres!$G$3),I99,C99)</f>
        <v>-7426.46</v>
      </c>
      <c r="O99" s="151">
        <f>+IF(OR($Q99=Parametres!$G$2,$Q99=Parametres!$G$3),J99,D99)</f>
        <v>0</v>
      </c>
      <c r="P99" s="151">
        <f>+IF(OR($Q99=Parametres!$G$2,$Q99=Parametres!$G$3),K99,E99)</f>
        <v>-7426.46</v>
      </c>
      <c r="Q99" s="150" t="str">
        <f t="shared" si="7"/>
        <v>2-Actifs</v>
      </c>
      <c r="R99" s="149" t="str">
        <f t="shared" si="8"/>
        <v>223</v>
      </c>
      <c r="S99" s="150" t="str">
        <f t="shared" si="9"/>
        <v>_</v>
      </c>
      <c r="T99" s="152" t="str">
        <f>+VLOOKUP($L99,Data_Validation!$A:$D,1,0)</f>
        <v>223</v>
      </c>
      <c r="U99" s="152" t="str">
        <f>+VLOOKUP($L99,Data_Validation!$A:$D,3,0)</f>
        <v>Bilan</v>
      </c>
      <c r="V99" s="152" t="str">
        <f>+VLOOKUP($L99,Data_Validation!$A:$D,4,0)</f>
        <v>Recevables Pièces et Service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1917</v>
      </c>
      <c r="B100" s="718" t="s">
        <v>1918</v>
      </c>
      <c r="C100" s="720">
        <v>-6300</v>
      </c>
      <c r="D100" s="720">
        <v>0</v>
      </c>
      <c r="E100" s="720">
        <v>-6300</v>
      </c>
      <c r="F100" s="718" t="s">
        <v>2226</v>
      </c>
      <c r="G100" s="718" t="s">
        <v>451</v>
      </c>
      <c r="H100" s="607" t="s">
        <v>2971</v>
      </c>
      <c r="I100" s="153"/>
      <c r="J100" s="153"/>
      <c r="K100" s="153"/>
      <c r="L100" s="149" t="str">
        <f t="shared" si="5"/>
        <v>224</v>
      </c>
      <c r="M100" s="150" t="str">
        <f t="shared" si="6"/>
        <v>PROVISION PROGRAMMES MANUFACTURIERS</v>
      </c>
      <c r="N100" s="151">
        <f>+IF(OR($Q100=Parametres!$G$2,$Q100=Parametres!$G$3),I100,C100)</f>
        <v>-6300</v>
      </c>
      <c r="O100" s="504">
        <f>+IF(OR($Q100=Parametres!$G$2,$Q100=Parametres!$G$3),J100,D100)</f>
        <v>0</v>
      </c>
      <c r="P100" s="151">
        <f>+IF(OR($Q100=Parametres!$G$2,$Q100=Parametres!$G$3),K100,E100)</f>
        <v>-6300</v>
      </c>
      <c r="Q100" s="150" t="str">
        <f t="shared" si="7"/>
        <v>2-Actifs</v>
      </c>
      <c r="R100" s="149" t="str">
        <f t="shared" si="8"/>
        <v>221A</v>
      </c>
      <c r="S100" s="150" t="str">
        <f t="shared" si="9"/>
        <v>_</v>
      </c>
      <c r="T100" s="152" t="str">
        <f>+VLOOKUP($L100,Data_Validation!$A:$D,1,0)</f>
        <v>224</v>
      </c>
      <c r="U100" s="152" t="str">
        <f>+VLOOKUP($L100,Data_Validation!$A:$D,3,0)</f>
        <v>Bilan</v>
      </c>
      <c r="V100" s="152" t="str">
        <f>+VLOOKUP($L100,Data_Validation!$A:$D,4,0)</f>
        <v>Recevables Manufacturier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1850</v>
      </c>
      <c r="B101" s="718" t="s">
        <v>352</v>
      </c>
      <c r="C101" s="720">
        <v>1180038.27</v>
      </c>
      <c r="D101" s="720">
        <v>105273.88</v>
      </c>
      <c r="E101" s="720">
        <v>1285312.1499999999</v>
      </c>
      <c r="F101" s="718" t="s">
        <v>2226</v>
      </c>
      <c r="G101" s="718" t="s">
        <v>352</v>
      </c>
      <c r="H101" s="673" t="s">
        <v>2971</v>
      </c>
      <c r="I101" s="673"/>
      <c r="J101" s="673"/>
      <c r="K101" s="673"/>
      <c r="L101" s="149" t="str">
        <f t="shared" si="5"/>
        <v>230</v>
      </c>
      <c r="M101" s="150" t="str">
        <f t="shared" si="6"/>
        <v>INV. VOITURES NEUVES BMW</v>
      </c>
      <c r="N101" s="151">
        <f>+IF(OR($Q101=Parametres!$G$2,$Q101=Parametres!$G$3),I101,C101)</f>
        <v>1180038.27</v>
      </c>
      <c r="O101" s="151">
        <f>+IF(OR($Q101=Parametres!$G$2,$Q101=Parametres!$G$3),J101,D101)</f>
        <v>105273.88</v>
      </c>
      <c r="P101" s="151">
        <f>+IF(OR($Q101=Parametres!$G$2,$Q101=Parametres!$G$3),K101,E101)</f>
        <v>1285312.1499999999</v>
      </c>
      <c r="Q101" s="150" t="str">
        <f t="shared" si="7"/>
        <v>2-Actifs</v>
      </c>
      <c r="R101" s="149" t="str">
        <f t="shared" si="8"/>
        <v>230</v>
      </c>
      <c r="S101" s="150" t="str">
        <f t="shared" si="9"/>
        <v>_</v>
      </c>
      <c r="T101" s="152" t="str">
        <f>+VLOOKUP($L101,Data_Validation!$A:$D,1,0)</f>
        <v>230</v>
      </c>
      <c r="U101" s="152" t="str">
        <f>+VLOOKUP($L101,Data_Validation!$A:$D,3,0)</f>
        <v>Bilan</v>
      </c>
      <c r="V101" s="152" t="str">
        <f>+VLOOKUP($L101,Data_Validation!$A:$D,4,0)</f>
        <v>Inventaire Véhicules Neufs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1074</v>
      </c>
      <c r="B102" s="718" t="s">
        <v>382</v>
      </c>
      <c r="C102" s="719">
        <v>3280230.58</v>
      </c>
      <c r="D102" s="719">
        <v>391662.65</v>
      </c>
      <c r="E102" s="719">
        <v>3671893.23</v>
      </c>
      <c r="F102" s="718" t="s">
        <v>2226</v>
      </c>
      <c r="G102" s="718" t="s">
        <v>382</v>
      </c>
      <c r="H102" s="719" t="s">
        <v>2971</v>
      </c>
      <c r="I102" s="720"/>
      <c r="J102" s="720"/>
      <c r="K102" s="720"/>
      <c r="L102" s="149" t="str">
        <f t="shared" si="5"/>
        <v>232</v>
      </c>
      <c r="M102" s="150" t="str">
        <f t="shared" si="6"/>
        <v>INV. CAMIONS NEUFS BMW</v>
      </c>
      <c r="N102" s="151">
        <f>+IF(OR($Q102=Parametres!$G$2,$Q102=Parametres!$G$3),I102,C102)</f>
        <v>3280230.58</v>
      </c>
      <c r="O102" s="151">
        <f>+IF(OR($Q102=Parametres!$G$2,$Q102=Parametres!$G$3),J102,D102)</f>
        <v>391662.65</v>
      </c>
      <c r="P102" s="151">
        <f>+IF(OR($Q102=Parametres!$G$2,$Q102=Parametres!$G$3),K102,E102)</f>
        <v>3671893.23</v>
      </c>
      <c r="Q102" s="150" t="str">
        <f t="shared" si="7"/>
        <v>2-Actifs</v>
      </c>
      <c r="R102" s="149" t="str">
        <f t="shared" si="8"/>
        <v>232</v>
      </c>
      <c r="S102" s="150" t="str">
        <f t="shared" si="9"/>
        <v>_</v>
      </c>
      <c r="T102" s="152" t="str">
        <f>+VLOOKUP($L102,Data_Validation!$A:$D,1,0)</f>
        <v>232</v>
      </c>
      <c r="U102" s="152" t="str">
        <f>+VLOOKUP($L102,Data_Validation!$A:$D,3,0)</f>
        <v>Bilan</v>
      </c>
      <c r="V102" s="152" t="str">
        <f>+VLOOKUP($L102,Data_Validation!$A:$D,4,0)</f>
        <v>Inventaire Véhicules Neufs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1176</v>
      </c>
      <c r="B103" s="718" t="s">
        <v>353</v>
      </c>
      <c r="C103" s="720">
        <v>1442954.18</v>
      </c>
      <c r="D103" s="720">
        <v>87073.03</v>
      </c>
      <c r="E103" s="720">
        <v>1530027.21</v>
      </c>
      <c r="F103" s="718" t="s">
        <v>2226</v>
      </c>
      <c r="G103" s="718" t="s">
        <v>353</v>
      </c>
      <c r="H103" s="666" t="s">
        <v>2971</v>
      </c>
      <c r="I103" s="665"/>
      <c r="J103" s="665"/>
      <c r="K103" s="665"/>
      <c r="L103" s="149" t="str">
        <f t="shared" si="5"/>
        <v>234</v>
      </c>
      <c r="M103" s="150" t="str">
        <f t="shared" si="6"/>
        <v>INVENTAIRE VEHICULES I</v>
      </c>
      <c r="N103" s="151">
        <f>+IF(OR($Q103=Parametres!$G$2,$Q103=Parametres!$G$3),I103,C103)</f>
        <v>1442954.18</v>
      </c>
      <c r="O103" s="151">
        <f>+IF(OR($Q103=Parametres!$G$2,$Q103=Parametres!$G$3),J103,D103)</f>
        <v>87073.03</v>
      </c>
      <c r="P103" s="151">
        <f>+IF(OR($Q103=Parametres!$G$2,$Q103=Parametres!$G$3),K103,E103)</f>
        <v>1530027.21</v>
      </c>
      <c r="Q103" s="150" t="str">
        <f t="shared" si="7"/>
        <v>2-Actifs</v>
      </c>
      <c r="R103" s="149" t="str">
        <f t="shared" si="8"/>
        <v>234</v>
      </c>
      <c r="S103" s="150" t="str">
        <f t="shared" si="9"/>
        <v>_</v>
      </c>
      <c r="T103" s="152" t="str">
        <f>+VLOOKUP($L103,Data_Validation!$A:$D,1,0)</f>
        <v>234</v>
      </c>
      <c r="U103" s="152" t="str">
        <f>+VLOOKUP($L103,Data_Validation!$A:$D,3,0)</f>
        <v>Bilan</v>
      </c>
      <c r="V103" s="152" t="str">
        <f>+VLOOKUP($L103,Data_Validation!$A:$D,4,0)</f>
        <v>Inventaire Véhicules Neufs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1083</v>
      </c>
      <c r="B104" s="718" t="s">
        <v>408</v>
      </c>
      <c r="C104" s="720">
        <v>540109.49</v>
      </c>
      <c r="D104" s="720">
        <v>-51171.45</v>
      </c>
      <c r="E104" s="720">
        <v>488938.04</v>
      </c>
      <c r="F104" s="718" t="s">
        <v>2226</v>
      </c>
      <c r="G104" s="718" t="s">
        <v>408</v>
      </c>
      <c r="H104" s="673" t="s">
        <v>2971</v>
      </c>
      <c r="I104" s="672"/>
      <c r="J104" s="672"/>
      <c r="K104" s="672"/>
      <c r="L104" s="149" t="str">
        <f t="shared" si="5"/>
        <v>240A</v>
      </c>
      <c r="M104" s="150" t="str">
        <f t="shared" si="6"/>
        <v>INV. VOITURES USAGEES BMW</v>
      </c>
      <c r="N104" s="151">
        <f>+IF(OR($Q104=Parametres!$G$2,$Q104=Parametres!$G$3),I104,C104)</f>
        <v>540109.49</v>
      </c>
      <c r="O104" s="151">
        <f>+IF(OR($Q104=Parametres!$G$2,$Q104=Parametres!$G$3),J104,D104)</f>
        <v>-51171.45</v>
      </c>
      <c r="P104" s="151">
        <f>+IF(OR($Q104=Parametres!$G$2,$Q104=Parametres!$G$3),K104,E104)</f>
        <v>488938.04</v>
      </c>
      <c r="Q104" s="150" t="str">
        <f t="shared" si="7"/>
        <v>2-Actifs</v>
      </c>
      <c r="R104" s="149" t="str">
        <f t="shared" si="8"/>
        <v>240A</v>
      </c>
      <c r="S104" s="150" t="str">
        <f t="shared" si="9"/>
        <v>_</v>
      </c>
      <c r="T104" s="152" t="str">
        <f>+VLOOKUP($L104,Data_Validation!$A:$D,1,0)</f>
        <v>240A</v>
      </c>
      <c r="U104" s="152" t="str">
        <f>+VLOOKUP($L104,Data_Validation!$A:$D,3,0)</f>
        <v>Bilan</v>
      </c>
      <c r="V104" s="152" t="str">
        <f>+VLOOKUP($L104,Data_Validation!$A:$D,4,0)</f>
        <v>Inventaire Véhicules Usagés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1092</v>
      </c>
      <c r="B105" s="718" t="s">
        <v>432</v>
      </c>
      <c r="C105" s="720">
        <v>774627.02</v>
      </c>
      <c r="D105" s="720">
        <v>74842.850000000006</v>
      </c>
      <c r="E105" s="720">
        <v>849469.87</v>
      </c>
      <c r="F105" s="718" t="s">
        <v>2226</v>
      </c>
      <c r="G105" s="718" t="s">
        <v>432</v>
      </c>
      <c r="H105" s="673" t="s">
        <v>2971</v>
      </c>
      <c r="I105" s="673"/>
      <c r="J105" s="673"/>
      <c r="K105" s="673"/>
      <c r="L105" s="149" t="str">
        <f t="shared" si="5"/>
        <v>240C</v>
      </c>
      <c r="M105" s="150" t="str">
        <f t="shared" si="6"/>
        <v>INV. VEHICULES USAGES AUTRES</v>
      </c>
      <c r="N105" s="151">
        <f>+IF(OR($Q105=Parametres!$G$2,$Q105=Parametres!$G$3),I105,C105)</f>
        <v>774627.02</v>
      </c>
      <c r="O105" s="151">
        <f>+IF(OR($Q105=Parametres!$G$2,$Q105=Parametres!$G$3),J105,D105)</f>
        <v>74842.850000000006</v>
      </c>
      <c r="P105" s="151">
        <f>+IF(OR($Q105=Parametres!$G$2,$Q105=Parametres!$G$3),K105,E105)</f>
        <v>849469.87</v>
      </c>
      <c r="Q105" s="150" t="str">
        <f t="shared" si="7"/>
        <v>2-Actifs</v>
      </c>
      <c r="R105" s="149" t="str">
        <f t="shared" si="8"/>
        <v>240C</v>
      </c>
      <c r="S105" s="150" t="str">
        <f t="shared" si="9"/>
        <v>_</v>
      </c>
      <c r="T105" s="152" t="str">
        <f>+VLOOKUP($L105,Data_Validation!$A:$D,1,0)</f>
        <v>240C</v>
      </c>
      <c r="U105" s="152" t="str">
        <f>+VLOOKUP($L105,Data_Validation!$A:$D,3,0)</f>
        <v>Bilan</v>
      </c>
      <c r="V105" s="152" t="str">
        <f>+VLOOKUP($L105,Data_Validation!$A:$D,4,0)</f>
        <v>Inventaire Véhicules Usagés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1840</v>
      </c>
      <c r="B106" s="718" t="s">
        <v>819</v>
      </c>
      <c r="C106" s="720">
        <v>210729.21</v>
      </c>
      <c r="D106" s="720">
        <v>529552.98</v>
      </c>
      <c r="E106" s="720">
        <v>740282.19</v>
      </c>
      <c r="F106" s="718" t="s">
        <v>2226</v>
      </c>
      <c r="G106" s="718" t="s">
        <v>819</v>
      </c>
      <c r="H106" s="673" t="s">
        <v>2971</v>
      </c>
      <c r="I106" s="672"/>
      <c r="J106" s="672"/>
      <c r="K106" s="672"/>
      <c r="L106" s="149" t="str">
        <f t="shared" si="5"/>
        <v>242A</v>
      </c>
      <c r="M106" s="150" t="str">
        <f t="shared" si="6"/>
        <v>INV. CAMIONS USAGES BMW</v>
      </c>
      <c r="N106" s="151">
        <f>+IF(OR($Q106=Parametres!$G$2,$Q106=Parametres!$G$3),I106,C106)</f>
        <v>210729.21</v>
      </c>
      <c r="O106" s="151">
        <f>+IF(OR($Q106=Parametres!$G$2,$Q106=Parametres!$G$3),J106,D106)</f>
        <v>529552.98</v>
      </c>
      <c r="P106" s="151">
        <f>+IF(OR($Q106=Parametres!$G$2,$Q106=Parametres!$G$3),K106,E106)</f>
        <v>740282.19</v>
      </c>
      <c r="Q106" s="150" t="str">
        <f t="shared" si="7"/>
        <v>2-Actifs</v>
      </c>
      <c r="R106" s="149" t="str">
        <f t="shared" si="8"/>
        <v>242A</v>
      </c>
      <c r="S106" s="150" t="str">
        <f t="shared" si="9"/>
        <v>_</v>
      </c>
      <c r="T106" s="152" t="str">
        <f>+VLOOKUP($L106,Data_Validation!$A:$D,1,0)</f>
        <v>242A</v>
      </c>
      <c r="U106" s="152" t="str">
        <f>+VLOOKUP($L106,Data_Validation!$A:$D,3,0)</f>
        <v>Bilan</v>
      </c>
      <c r="V106" s="152" t="str">
        <f>+VLOOKUP($L106,Data_Validation!$A:$D,4,0)</f>
        <v>Inventaire Véhicules Usagés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1107</v>
      </c>
      <c r="B107" s="718" t="s">
        <v>421</v>
      </c>
      <c r="C107" s="720">
        <v>337563.41</v>
      </c>
      <c r="D107" s="720">
        <v>10736.93</v>
      </c>
      <c r="E107" s="720">
        <v>348300.34</v>
      </c>
      <c r="F107" s="718" t="s">
        <v>2226</v>
      </c>
      <c r="G107" s="718" t="s">
        <v>421</v>
      </c>
      <c r="H107" s="673" t="s">
        <v>2971</v>
      </c>
      <c r="I107" s="672"/>
      <c r="J107" s="672"/>
      <c r="K107" s="672"/>
      <c r="L107" s="149" t="str">
        <f t="shared" si="5"/>
        <v>243A</v>
      </c>
      <c r="M107" s="150" t="str">
        <f t="shared" si="6"/>
        <v>INV. PIECES BMW</v>
      </c>
      <c r="N107" s="151">
        <f>+IF(OR($Q107=Parametres!$G$2,$Q107=Parametres!$G$3),I107,C107)</f>
        <v>337563.41</v>
      </c>
      <c r="O107" s="151">
        <f>+IF(OR($Q107=Parametres!$G$2,$Q107=Parametres!$G$3),J107,D107)</f>
        <v>10736.93</v>
      </c>
      <c r="P107" s="151">
        <f>+IF(OR($Q107=Parametres!$G$2,$Q107=Parametres!$G$3),K107,E107)</f>
        <v>348300.34</v>
      </c>
      <c r="Q107" s="150" t="str">
        <f t="shared" si="7"/>
        <v>2-Actifs</v>
      </c>
      <c r="R107" s="149" t="str">
        <f t="shared" si="8"/>
        <v>243A</v>
      </c>
      <c r="S107" s="150" t="str">
        <f t="shared" si="9"/>
        <v>_</v>
      </c>
      <c r="T107" s="152" t="str">
        <f>+VLOOKUP($L107,Data_Validation!$A:$D,1,0)</f>
        <v>243A</v>
      </c>
      <c r="U107" s="152" t="str">
        <f>+VLOOKUP($L107,Data_Validation!$A:$D,3,0)</f>
        <v>Bilan</v>
      </c>
      <c r="V107" s="152" t="str">
        <f>+VLOOKUP($L107,Data_Validation!$A:$D,4,0)</f>
        <v>Inventaire Pièces, Pneus, Huile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362</v>
      </c>
      <c r="B108" s="718" t="s">
        <v>1147</v>
      </c>
      <c r="C108" s="720">
        <v>-1457.31</v>
      </c>
      <c r="D108" s="720">
        <v>-185.52</v>
      </c>
      <c r="E108" s="720">
        <v>-1642.83</v>
      </c>
      <c r="F108" s="718" t="s">
        <v>2226</v>
      </c>
      <c r="G108" s="718" t="s">
        <v>421</v>
      </c>
      <c r="H108" s="673" t="s">
        <v>2971</v>
      </c>
      <c r="I108" s="673"/>
      <c r="J108" s="673"/>
      <c r="K108" s="673"/>
      <c r="L108" s="149" t="str">
        <f t="shared" si="5"/>
        <v>243F</v>
      </c>
      <c r="M108" s="150" t="str">
        <f t="shared" si="6"/>
        <v>AJUSTEMENT INVENTAIRE PIECES</v>
      </c>
      <c r="N108" s="151">
        <f>+IF(OR($Q108=Parametres!$G$2,$Q108=Parametres!$G$3),I108,C108)</f>
        <v>-1457.31</v>
      </c>
      <c r="O108" s="151">
        <f>+IF(OR($Q108=Parametres!$G$2,$Q108=Parametres!$G$3),J108,D108)</f>
        <v>-185.52</v>
      </c>
      <c r="P108" s="151">
        <f>+IF(OR($Q108=Parametres!$G$2,$Q108=Parametres!$G$3),K108,E108)</f>
        <v>-1642.83</v>
      </c>
      <c r="Q108" s="150" t="str">
        <f t="shared" si="7"/>
        <v>2-Actifs</v>
      </c>
      <c r="R108" s="149" t="str">
        <f t="shared" si="8"/>
        <v>243A</v>
      </c>
      <c r="S108" s="150" t="str">
        <f t="shared" si="9"/>
        <v>_</v>
      </c>
      <c r="T108" s="152" t="str">
        <f>+VLOOKUP($L108,Data_Validation!$A:$D,1,0)</f>
        <v>243F</v>
      </c>
      <c r="U108" s="152" t="str">
        <f>+VLOOKUP($L108,Data_Validation!$A:$D,3,0)</f>
        <v>Bilan</v>
      </c>
      <c r="V108" s="152" t="str">
        <f>+VLOOKUP($L108,Data_Validation!$A:$D,4,0)</f>
        <v>Inventaire Pièces, Pneus, Huile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1192</v>
      </c>
      <c r="B109" s="718" t="s">
        <v>881</v>
      </c>
      <c r="C109" s="720">
        <v>158.01</v>
      </c>
      <c r="D109" s="720">
        <v>163.28</v>
      </c>
      <c r="E109" s="720">
        <v>321.29000000000002</v>
      </c>
      <c r="F109" s="718" t="s">
        <v>2226</v>
      </c>
      <c r="G109" s="718" t="s">
        <v>881</v>
      </c>
      <c r="H109" s="673" t="s">
        <v>2971</v>
      </c>
      <c r="I109" s="672"/>
      <c r="J109" s="672"/>
      <c r="K109" s="672"/>
      <c r="L109" s="149" t="str">
        <f t="shared" si="5"/>
        <v>247</v>
      </c>
      <c r="M109" s="150" t="str">
        <f t="shared" si="6"/>
        <v>INV. SOUS TRAITANCE</v>
      </c>
      <c r="N109" s="151">
        <f>+IF(OR($Q109=Parametres!$G$2,$Q109=Parametres!$G$3),I109,C109)</f>
        <v>158.01</v>
      </c>
      <c r="O109" s="151">
        <f>+IF(OR($Q109=Parametres!$G$2,$Q109=Parametres!$G$3),J109,D109)</f>
        <v>163.28</v>
      </c>
      <c r="P109" s="151">
        <f>+IF(OR($Q109=Parametres!$G$2,$Q109=Parametres!$G$3),K109,E109)</f>
        <v>321.29000000000002</v>
      </c>
      <c r="Q109" s="150" t="str">
        <f t="shared" si="7"/>
        <v>2-Actifs</v>
      </c>
      <c r="R109" s="149" t="str">
        <f t="shared" si="8"/>
        <v>247</v>
      </c>
      <c r="S109" s="150" t="str">
        <f t="shared" si="9"/>
        <v>_</v>
      </c>
      <c r="T109" s="152" t="str">
        <f>+VLOOKUP($L109,Data_Validation!$A:$D,1,0)</f>
        <v>247</v>
      </c>
      <c r="U109" s="152" t="str">
        <f>+VLOOKUP($L109,Data_Validation!$A:$D,3,0)</f>
        <v>Bilan</v>
      </c>
      <c r="V109" s="152" t="str">
        <f>+VLOOKUP($L109,Data_Validation!$A:$D,4,0)</f>
        <v>Sous-Traitance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380</v>
      </c>
      <c r="B110" s="718" t="s">
        <v>462</v>
      </c>
      <c r="C110" s="720">
        <v>3773.12</v>
      </c>
      <c r="D110" s="720">
        <v>4976.6099999999997</v>
      </c>
      <c r="E110" s="720">
        <v>8749.73</v>
      </c>
      <c r="F110" s="718" t="s">
        <v>2226</v>
      </c>
      <c r="G110" s="718" t="s">
        <v>462</v>
      </c>
      <c r="H110" s="673" t="s">
        <v>2971</v>
      </c>
      <c r="I110" s="672"/>
      <c r="J110" s="672"/>
      <c r="K110" s="672"/>
      <c r="L110" s="149" t="str">
        <f t="shared" si="5"/>
        <v>248</v>
      </c>
      <c r="M110" s="150" t="str">
        <f t="shared" si="6"/>
        <v>TRAVAUX EN COURS</v>
      </c>
      <c r="N110" s="151">
        <f>+IF(OR($Q110=Parametres!$G$2,$Q110=Parametres!$G$3),I110,C110)</f>
        <v>3773.12</v>
      </c>
      <c r="O110" s="151">
        <f>+IF(OR($Q110=Parametres!$G$2,$Q110=Parametres!$G$3),J110,D110)</f>
        <v>4976.6099999999997</v>
      </c>
      <c r="P110" s="151">
        <f>+IF(OR($Q110=Parametres!$G$2,$Q110=Parametres!$G$3),K110,E110)</f>
        <v>8749.73</v>
      </c>
      <c r="Q110" s="150" t="str">
        <f t="shared" si="7"/>
        <v>2-Actifs</v>
      </c>
      <c r="R110" s="149" t="str">
        <f t="shared" si="8"/>
        <v>248</v>
      </c>
      <c r="S110" s="150" t="str">
        <f t="shared" si="9"/>
        <v>_</v>
      </c>
      <c r="T110" s="152" t="str">
        <f>+VLOOKUP($L110,Data_Validation!$A:$D,1,0)</f>
        <v>248</v>
      </c>
      <c r="U110" s="152" t="str">
        <f>+VLOOKUP($L110,Data_Validation!$A:$D,3,0)</f>
        <v>Bilan</v>
      </c>
      <c r="V110" s="152" t="str">
        <f>+VLOOKUP($L110,Data_Validation!$A:$D,4,0)</f>
        <v>Travaux en Cours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1825</v>
      </c>
      <c r="B111" s="718" t="s">
        <v>427</v>
      </c>
      <c r="C111" s="720">
        <v>198317.04</v>
      </c>
      <c r="D111" s="720">
        <v>-24453.55</v>
      </c>
      <c r="E111" s="720">
        <v>173863.49</v>
      </c>
      <c r="F111" s="718" t="s">
        <v>2226</v>
      </c>
      <c r="G111" s="718" t="s">
        <v>421</v>
      </c>
      <c r="H111" s="609" t="s">
        <v>2971</v>
      </c>
      <c r="I111" s="608"/>
      <c r="J111" s="608"/>
      <c r="K111" s="608"/>
      <c r="L111" s="149" t="str">
        <f t="shared" si="5"/>
        <v>249</v>
      </c>
      <c r="M111" s="150" t="str">
        <f t="shared" si="6"/>
        <v>INV. PNEUS</v>
      </c>
      <c r="N111" s="151">
        <f>+IF(OR($Q111=Parametres!$G$2,$Q111=Parametres!$G$3),I111,C111)</f>
        <v>198317.04</v>
      </c>
      <c r="O111" s="151">
        <f>+IF(OR($Q111=Parametres!$G$2,$Q111=Parametres!$G$3),J111,D111)</f>
        <v>-24453.55</v>
      </c>
      <c r="P111" s="151">
        <f>+IF(OR($Q111=Parametres!$G$2,$Q111=Parametres!$G$3),K111,E111)</f>
        <v>173863.49</v>
      </c>
      <c r="Q111" s="150" t="str">
        <f t="shared" si="7"/>
        <v>2-Actifs</v>
      </c>
      <c r="R111" s="149" t="str">
        <f t="shared" si="8"/>
        <v>243A</v>
      </c>
      <c r="S111" s="150" t="str">
        <f t="shared" si="9"/>
        <v>_</v>
      </c>
      <c r="T111" s="152" t="str">
        <f>+VLOOKUP($L111,Data_Validation!$A:$D,1,0)</f>
        <v>249</v>
      </c>
      <c r="U111" s="152" t="str">
        <f>+VLOOKUP($L111,Data_Validation!$A:$D,3,0)</f>
        <v>Bilan</v>
      </c>
      <c r="V111" s="152" t="str">
        <f>+VLOOKUP($L111,Data_Validation!$A:$D,4,0)</f>
        <v>Inventaire Pièces, Pneus, Huile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1821</v>
      </c>
      <c r="B112" s="718" t="s">
        <v>446</v>
      </c>
      <c r="C112" s="719">
        <v>871.72</v>
      </c>
      <c r="D112" s="719">
        <v>-8805</v>
      </c>
      <c r="E112" s="719">
        <v>-7933.28</v>
      </c>
      <c r="F112" s="718" t="s">
        <v>2226</v>
      </c>
      <c r="G112" s="718" t="s">
        <v>2246</v>
      </c>
      <c r="H112" s="719" t="s">
        <v>2971</v>
      </c>
      <c r="I112" s="720"/>
      <c r="J112" s="720"/>
      <c r="K112" s="720"/>
      <c r="L112" s="149" t="str">
        <f t="shared" si="5"/>
        <v>270A</v>
      </c>
      <c r="M112" s="150" t="str">
        <f t="shared" si="6"/>
        <v>TAXES PAYEES D'AVANCE</v>
      </c>
      <c r="N112" s="151">
        <f>+IF(OR($Q112=Parametres!$G$2,$Q112=Parametres!$G$3),I112,C112)</f>
        <v>871.72</v>
      </c>
      <c r="O112" s="504">
        <f>+IF(OR($Q112=Parametres!$G$2,$Q112=Parametres!$G$3),J112,D112)</f>
        <v>-8805</v>
      </c>
      <c r="P112" s="151">
        <f>+IF(OR($Q112=Parametres!$G$2,$Q112=Parametres!$G$3),K112,E112)</f>
        <v>-7933.28</v>
      </c>
      <c r="Q112" s="150" t="str">
        <f t="shared" si="7"/>
        <v>2-Actifs</v>
      </c>
      <c r="R112" s="149" t="str">
        <f t="shared" si="8"/>
        <v>270</v>
      </c>
      <c r="S112" s="150" t="str">
        <f t="shared" si="9"/>
        <v>_</v>
      </c>
      <c r="T112" s="152" t="str">
        <f>+VLOOKUP($L112,Data_Validation!$A:$D,1,0)</f>
        <v>270A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1779</v>
      </c>
      <c r="B113" s="718" t="s">
        <v>1780</v>
      </c>
      <c r="C113" s="720">
        <v>-2891.52</v>
      </c>
      <c r="D113" s="720">
        <v>0</v>
      </c>
      <c r="E113" s="720">
        <v>-2891.52</v>
      </c>
      <c r="F113" s="718" t="s">
        <v>2226</v>
      </c>
      <c r="G113" s="718" t="s">
        <v>2246</v>
      </c>
      <c r="H113" s="719" t="s">
        <v>2971</v>
      </c>
      <c r="I113" s="719"/>
      <c r="J113" s="719"/>
      <c r="K113" s="719"/>
      <c r="L113" s="149" t="str">
        <f t="shared" si="5"/>
        <v>270B</v>
      </c>
      <c r="M113" s="150" t="str">
        <f t="shared" si="6"/>
        <v>ELECTRICITE PAYES D'AVANCE</v>
      </c>
      <c r="N113" s="151">
        <f>+IF(OR($Q113=Parametres!$G$2,$Q113=Parametres!$G$3),I113,C113)</f>
        <v>-2891.52</v>
      </c>
      <c r="O113" s="151">
        <f>+IF(OR($Q113=Parametres!$G$2,$Q113=Parametres!$G$3),J113,D113)</f>
        <v>0</v>
      </c>
      <c r="P113" s="151">
        <f>+IF(OR($Q113=Parametres!$G$2,$Q113=Parametres!$G$3),K113,E113)</f>
        <v>-2891.52</v>
      </c>
      <c r="Q113" s="150" t="str">
        <f t="shared" si="7"/>
        <v>2-Actifs</v>
      </c>
      <c r="R113" s="149" t="str">
        <f t="shared" si="8"/>
        <v>270</v>
      </c>
      <c r="S113" s="150" t="str">
        <f t="shared" si="9"/>
        <v>_</v>
      </c>
      <c r="T113" s="152" t="str">
        <f>+VLOOKUP($L113,Data_Validation!$A:$D,1,0)</f>
        <v>270B</v>
      </c>
      <c r="U113" s="152" t="str">
        <f>+VLOOKUP($L113,Data_Validation!$A:$D,3,0)</f>
        <v>Bilan</v>
      </c>
      <c r="V113" s="152" t="str">
        <f>+VLOOKUP($L113,Data_Validation!$A:$D,4,0)</f>
        <v>Autres courus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1811</v>
      </c>
      <c r="B114" s="718" t="s">
        <v>1812</v>
      </c>
      <c r="C114" s="719">
        <v>4340.79</v>
      </c>
      <c r="D114" s="719">
        <v>4824.3900000000003</v>
      </c>
      <c r="E114" s="719">
        <v>9165.18</v>
      </c>
      <c r="F114" s="718" t="s">
        <v>2226</v>
      </c>
      <c r="G114" s="718" t="s">
        <v>2246</v>
      </c>
      <c r="H114" s="719" t="s">
        <v>2971</v>
      </c>
      <c r="I114" s="720"/>
      <c r="J114" s="720"/>
      <c r="K114" s="720"/>
      <c r="L114" s="149" t="str">
        <f t="shared" si="5"/>
        <v>270C</v>
      </c>
      <c r="M114" s="150" t="str">
        <f t="shared" si="6"/>
        <v>PLAQUES PAYES D'AVANCE</v>
      </c>
      <c r="N114" s="151">
        <f>+IF(OR($Q114=Parametres!$G$2,$Q114=Parametres!$G$3),I114,C114)</f>
        <v>4340.79</v>
      </c>
      <c r="O114" s="151">
        <f>+IF(OR($Q114=Parametres!$G$2,$Q114=Parametres!$G$3),J114,D114)</f>
        <v>4824.3900000000003</v>
      </c>
      <c r="P114" s="151">
        <f>+IF(OR($Q114=Parametres!$G$2,$Q114=Parametres!$G$3),K114,E114)</f>
        <v>9165.18</v>
      </c>
      <c r="Q114" s="150" t="str">
        <f t="shared" si="7"/>
        <v>2-Actifs</v>
      </c>
      <c r="R114" s="149" t="str">
        <f t="shared" si="8"/>
        <v>270</v>
      </c>
      <c r="S114" s="150" t="str">
        <f t="shared" si="9"/>
        <v>_</v>
      </c>
      <c r="T114" s="152" t="str">
        <f>+VLOOKUP($L114,Data_Validation!$A:$D,1,0)</f>
        <v>270C</v>
      </c>
      <c r="U114" s="152" t="str">
        <f>+VLOOKUP($L114,Data_Validation!$A:$D,3,0)</f>
        <v>Bilan</v>
      </c>
      <c r="V114" s="152" t="str">
        <f>+VLOOKUP($L114,Data_Validation!$A:$D,4,0)</f>
        <v>Frais Payés d'Avance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940</v>
      </c>
      <c r="B115" s="718" t="s">
        <v>386</v>
      </c>
      <c r="C115" s="720">
        <v>1583.34</v>
      </c>
      <c r="D115" s="720">
        <v>-1583.33</v>
      </c>
      <c r="E115" s="720">
        <v>0.01</v>
      </c>
      <c r="F115" s="718" t="s">
        <v>2226</v>
      </c>
      <c r="G115" s="718" t="s">
        <v>386</v>
      </c>
      <c r="H115" s="673" t="s">
        <v>2971</v>
      </c>
      <c r="I115" s="673"/>
      <c r="J115" s="673"/>
      <c r="K115" s="673"/>
      <c r="L115" s="149" t="str">
        <f t="shared" si="5"/>
        <v>274</v>
      </c>
      <c r="M115" s="150" t="str">
        <f t="shared" si="6"/>
        <v>FPA CONTRATS DE SERVICE</v>
      </c>
      <c r="N115" s="151">
        <f>+IF(OR($Q115=Parametres!$G$2,$Q115=Parametres!$G$3),I115,C115)</f>
        <v>1583.34</v>
      </c>
      <c r="O115" s="151">
        <f>+IF(OR($Q115=Parametres!$G$2,$Q115=Parametres!$G$3),J115,D115)</f>
        <v>-1583.33</v>
      </c>
      <c r="P115" s="151">
        <f>+IF(OR($Q115=Parametres!$G$2,$Q115=Parametres!$G$3),K115,E115)</f>
        <v>0.01</v>
      </c>
      <c r="Q115" s="150" t="str">
        <f t="shared" si="7"/>
        <v>2-Actifs</v>
      </c>
      <c r="R115" s="149" t="str">
        <f t="shared" si="8"/>
        <v>274</v>
      </c>
      <c r="S115" s="150" t="str">
        <f t="shared" si="9"/>
        <v>_</v>
      </c>
      <c r="T115" s="152" t="str">
        <f>+VLOOKUP($L115,Data_Validation!$A:$D,1,0)</f>
        <v>274</v>
      </c>
      <c r="U115" s="152" t="str">
        <f>+VLOOKUP($L115,Data_Validation!$A:$D,3,0)</f>
        <v>Bilan</v>
      </c>
      <c r="V115" s="152" t="str">
        <f>+VLOOKUP($L115,Data_Validation!$A:$D,4,0)</f>
        <v>Frais Payés d'Avance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1823</v>
      </c>
      <c r="B116" s="718" t="s">
        <v>596</v>
      </c>
      <c r="C116" s="720">
        <v>3600</v>
      </c>
      <c r="D116" s="720">
        <v>-3600</v>
      </c>
      <c r="E116" s="720">
        <v>0</v>
      </c>
      <c r="F116" s="718" t="s">
        <v>2226</v>
      </c>
      <c r="G116" s="718" t="s">
        <v>386</v>
      </c>
      <c r="H116" s="666" t="s">
        <v>2971</v>
      </c>
      <c r="I116" s="665"/>
      <c r="J116" s="665"/>
      <c r="K116" s="665"/>
      <c r="L116" s="149" t="str">
        <f t="shared" si="5"/>
        <v>275A</v>
      </c>
      <c r="M116" s="150" t="str">
        <f t="shared" si="6"/>
        <v>FPA PUB NEUF</v>
      </c>
      <c r="N116" s="151">
        <f>+IF(OR($Q116=Parametres!$G$2,$Q116=Parametres!$G$3),I116,C116)</f>
        <v>3600</v>
      </c>
      <c r="O116" s="151">
        <f>+IF(OR($Q116=Parametres!$G$2,$Q116=Parametres!$G$3),J116,D116)</f>
        <v>-3600</v>
      </c>
      <c r="P116" s="151">
        <f>+IF(OR($Q116=Parametres!$G$2,$Q116=Parametres!$G$3),K116,E116)</f>
        <v>0</v>
      </c>
      <c r="Q116" s="150" t="str">
        <f t="shared" si="7"/>
        <v>2-Actifs</v>
      </c>
      <c r="R116" s="149" t="str">
        <f t="shared" si="8"/>
        <v>274</v>
      </c>
      <c r="S116" s="150" t="str">
        <f t="shared" si="9"/>
        <v>_</v>
      </c>
      <c r="T116" s="152" t="str">
        <f>+VLOOKUP($L116,Data_Validation!$A:$D,1,0)</f>
        <v>275A</v>
      </c>
      <c r="U116" s="152" t="str">
        <f>+VLOOKUP($L116,Data_Validation!$A:$D,3,0)</f>
        <v>Bilan</v>
      </c>
      <c r="V116" s="152" t="str">
        <f>+VLOOKUP($L116,Data_Validation!$A:$D,4,0)</f>
        <v>Frais Payés d'Avance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1802</v>
      </c>
      <c r="B117" s="718" t="s">
        <v>442</v>
      </c>
      <c r="C117" s="719">
        <v>-12050</v>
      </c>
      <c r="D117" s="719">
        <v>0</v>
      </c>
      <c r="E117" s="719">
        <v>-12050</v>
      </c>
      <c r="F117" s="718" t="s">
        <v>2226</v>
      </c>
      <c r="G117" s="718" t="s">
        <v>386</v>
      </c>
      <c r="H117" s="719" t="s">
        <v>2971</v>
      </c>
      <c r="I117" s="720"/>
      <c r="J117" s="720"/>
      <c r="K117" s="720"/>
      <c r="L117" s="149" t="str">
        <f t="shared" si="5"/>
        <v>275C</v>
      </c>
      <c r="M117" s="150" t="str">
        <f t="shared" si="6"/>
        <v>FPA PUB USAGE</v>
      </c>
      <c r="N117" s="151">
        <f>+IF(OR($Q117=Parametres!$G$2,$Q117=Parametres!$G$3),I117,C117)</f>
        <v>-12050</v>
      </c>
      <c r="O117" s="151">
        <f>+IF(OR($Q117=Parametres!$G$2,$Q117=Parametres!$G$3),J117,D117)</f>
        <v>0</v>
      </c>
      <c r="P117" s="151">
        <f>+IF(OR($Q117=Parametres!$G$2,$Q117=Parametres!$G$3),K117,E117)</f>
        <v>-12050</v>
      </c>
      <c r="Q117" s="150" t="str">
        <f t="shared" si="7"/>
        <v>2-Actifs</v>
      </c>
      <c r="R117" s="149" t="str">
        <f t="shared" si="8"/>
        <v>274</v>
      </c>
      <c r="S117" s="150" t="str">
        <f t="shared" si="9"/>
        <v>_</v>
      </c>
      <c r="T117" s="152" t="str">
        <f>+VLOOKUP($L117,Data_Validation!$A:$D,1,0)</f>
        <v>275C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1887</v>
      </c>
      <c r="B118" s="718" t="s">
        <v>1888</v>
      </c>
      <c r="C118" s="720">
        <v>-6900</v>
      </c>
      <c r="D118" s="720">
        <v>6900</v>
      </c>
      <c r="E118" s="720">
        <v>0</v>
      </c>
      <c r="F118" s="718" t="s">
        <v>2226</v>
      </c>
      <c r="G118" s="718" t="s">
        <v>386</v>
      </c>
      <c r="H118" s="673" t="s">
        <v>2971</v>
      </c>
      <c r="I118" s="672"/>
      <c r="J118" s="672"/>
      <c r="K118" s="672"/>
      <c r="L118" s="149" t="str">
        <f t="shared" si="5"/>
        <v>275E</v>
      </c>
      <c r="M118" s="150" t="str">
        <f t="shared" si="6"/>
        <v>FPA PUB FIXE</v>
      </c>
      <c r="N118" s="151">
        <f>+IF(OR($Q118=Parametres!$G$2,$Q118=Parametres!$G$3),I118,C118)</f>
        <v>-6900</v>
      </c>
      <c r="O118" s="151">
        <f>+IF(OR($Q118=Parametres!$G$2,$Q118=Parametres!$G$3),J118,D118)</f>
        <v>6900</v>
      </c>
      <c r="P118" s="151">
        <f>+IF(OR($Q118=Parametres!$G$2,$Q118=Parametres!$G$3),K118,E118)</f>
        <v>0</v>
      </c>
      <c r="Q118" s="150" t="str">
        <f t="shared" si="7"/>
        <v>2-Actifs</v>
      </c>
      <c r="R118" s="149" t="str">
        <f t="shared" si="8"/>
        <v>274</v>
      </c>
      <c r="S118" s="150" t="str">
        <f t="shared" si="9"/>
        <v>_</v>
      </c>
      <c r="T118" s="152" t="str">
        <f>+VLOOKUP($L118,Data_Validation!$A:$D,1,0)</f>
        <v>275E</v>
      </c>
      <c r="U118" s="152" t="str">
        <f>+VLOOKUP($L118,Data_Validation!$A:$D,3,0)</f>
        <v>Bilan</v>
      </c>
      <c r="V118" s="152" t="str">
        <f>+VLOOKUP($L118,Data_Validation!$A:$D,4,0)</f>
        <v>Frais Payés d'Avance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1748</v>
      </c>
      <c r="B119" s="718" t="s">
        <v>1009</v>
      </c>
      <c r="C119" s="719">
        <v>1165</v>
      </c>
      <c r="D119" s="719">
        <v>-220</v>
      </c>
      <c r="E119" s="719">
        <v>945</v>
      </c>
      <c r="F119" s="718" t="s">
        <v>2226</v>
      </c>
      <c r="G119" s="718" t="s">
        <v>386</v>
      </c>
      <c r="H119" s="719" t="s">
        <v>2971</v>
      </c>
      <c r="I119" s="720"/>
      <c r="J119" s="720"/>
      <c r="K119" s="720"/>
      <c r="L119" s="149" t="str">
        <f t="shared" si="5"/>
        <v>276A</v>
      </c>
      <c r="M119" s="150" t="str">
        <f t="shared" si="6"/>
        <v>FPA CCAQ</v>
      </c>
      <c r="N119" s="151">
        <f>+IF(OR($Q119=Parametres!$G$2,$Q119=Parametres!$G$3),I119,C119)</f>
        <v>1165</v>
      </c>
      <c r="O119" s="151">
        <f>+IF(OR($Q119=Parametres!$G$2,$Q119=Parametres!$G$3),J119,D119)</f>
        <v>-220</v>
      </c>
      <c r="P119" s="151">
        <f>+IF(OR($Q119=Parametres!$G$2,$Q119=Parametres!$G$3),K119,E119)</f>
        <v>945</v>
      </c>
      <c r="Q119" s="150" t="str">
        <f t="shared" si="7"/>
        <v>2-Actifs</v>
      </c>
      <c r="R119" s="149" t="str">
        <f t="shared" si="8"/>
        <v>274</v>
      </c>
      <c r="S119" s="150" t="str">
        <f t="shared" si="9"/>
        <v>_</v>
      </c>
      <c r="T119" s="152" t="str">
        <f>+VLOOKUP($L119,Data_Validation!$A:$D,1,0)</f>
        <v>276A</v>
      </c>
      <c r="U119" s="152" t="str">
        <f>+VLOOKUP($L119,Data_Validation!$A:$D,3,0)</f>
        <v>Bilan</v>
      </c>
      <c r="V119" s="152" t="str">
        <f>+VLOOKUP($L119,Data_Validation!$A:$D,4,0)</f>
        <v>Frais Payés d'Avance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597</v>
      </c>
      <c r="B120" s="718" t="s">
        <v>598</v>
      </c>
      <c r="C120" s="720">
        <v>-4542.26</v>
      </c>
      <c r="D120" s="720">
        <v>-1000</v>
      </c>
      <c r="E120" s="720">
        <v>-5542.26</v>
      </c>
      <c r="F120" s="718" t="s">
        <v>2226</v>
      </c>
      <c r="G120" s="718" t="s">
        <v>386</v>
      </c>
      <c r="H120" s="673" t="s">
        <v>2971</v>
      </c>
      <c r="I120" s="672"/>
      <c r="J120" s="672"/>
      <c r="K120" s="672"/>
      <c r="L120" s="149" t="str">
        <f t="shared" si="5"/>
        <v>276B</v>
      </c>
      <c r="M120" s="150" t="str">
        <f t="shared" si="6"/>
        <v>FPA FORMATION</v>
      </c>
      <c r="N120" s="151">
        <f>+IF(OR($Q120=Parametres!$G$2,$Q120=Parametres!$G$3),I120,C120)</f>
        <v>-4542.26</v>
      </c>
      <c r="O120" s="151">
        <f>+IF(OR($Q120=Parametres!$G$2,$Q120=Parametres!$G$3),J120,D120)</f>
        <v>-1000</v>
      </c>
      <c r="P120" s="151">
        <f>+IF(OR($Q120=Parametres!$G$2,$Q120=Parametres!$G$3),K120,E120)</f>
        <v>-5542.26</v>
      </c>
      <c r="Q120" s="150" t="str">
        <f t="shared" si="7"/>
        <v>2-Actifs</v>
      </c>
      <c r="R120" s="149" t="str">
        <f t="shared" si="8"/>
        <v>274</v>
      </c>
      <c r="S120" s="150" t="str">
        <f t="shared" si="9"/>
        <v>_</v>
      </c>
      <c r="T120" s="152" t="str">
        <f>+VLOOKUP($L120,Data_Validation!$A:$D,1,0)</f>
        <v>276B</v>
      </c>
      <c r="U120" s="152" t="str">
        <f>+VLOOKUP($L120,Data_Validation!$A:$D,3,0)</f>
        <v>Bilan</v>
      </c>
      <c r="V120" s="152" t="str">
        <f>+VLOOKUP($L120,Data_Validation!$A:$D,4,0)</f>
        <v>Frais Payés d'Avance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2124</v>
      </c>
      <c r="B121" s="718" t="s">
        <v>2125</v>
      </c>
      <c r="C121" s="720">
        <v>12721.26</v>
      </c>
      <c r="D121" s="720">
        <v>-732.6</v>
      </c>
      <c r="E121" s="720">
        <v>11988.66</v>
      </c>
      <c r="F121" s="718" t="s">
        <v>2226</v>
      </c>
      <c r="G121" s="718" t="s">
        <v>2246</v>
      </c>
      <c r="H121" s="666" t="s">
        <v>2971</v>
      </c>
      <c r="I121" s="665"/>
      <c r="J121" s="665"/>
      <c r="K121" s="665"/>
      <c r="L121" s="149" t="str">
        <f t="shared" si="5"/>
        <v>279</v>
      </c>
      <c r="M121" s="150" t="str">
        <f t="shared" si="6"/>
        <v>TAXES A RECEVOIR</v>
      </c>
      <c r="N121" s="151">
        <f>+IF(OR($Q121=Parametres!$G$2,$Q121=Parametres!$G$3),I121,C121)</f>
        <v>12721.26</v>
      </c>
      <c r="O121" s="151">
        <f>+IF(OR($Q121=Parametres!$G$2,$Q121=Parametres!$G$3),J121,D121)</f>
        <v>-732.6</v>
      </c>
      <c r="P121" s="151">
        <f>+IF(OR($Q121=Parametres!$G$2,$Q121=Parametres!$G$3),K121,E121)</f>
        <v>11988.66</v>
      </c>
      <c r="Q121" s="150" t="str">
        <f t="shared" si="7"/>
        <v>2-Actifs</v>
      </c>
      <c r="R121" s="149" t="str">
        <f t="shared" si="8"/>
        <v>270</v>
      </c>
      <c r="S121" s="150" t="str">
        <f t="shared" si="9"/>
        <v>_</v>
      </c>
      <c r="T121" s="152" t="str">
        <f>+VLOOKUP($L121,Data_Validation!$A:$D,1,0)</f>
        <v>279</v>
      </c>
      <c r="U121" s="152" t="str">
        <f>+VLOOKUP($L121,Data_Validation!$A:$D,3,0)</f>
        <v>Bilan</v>
      </c>
      <c r="V121" s="152" t="str">
        <f>+VLOOKUP($L121,Data_Validation!$A:$D,4,0)</f>
        <v>Recevables Autres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405</v>
      </c>
      <c r="B122" s="718" t="s">
        <v>406</v>
      </c>
      <c r="C122" s="720">
        <v>-25794.9</v>
      </c>
      <c r="D122" s="720">
        <v>9454.3700000000008</v>
      </c>
      <c r="E122" s="720">
        <v>-16340.53</v>
      </c>
      <c r="F122" s="718" t="s">
        <v>2226</v>
      </c>
      <c r="G122" s="718" t="s">
        <v>386</v>
      </c>
      <c r="H122" s="673" t="s">
        <v>2971</v>
      </c>
      <c r="I122" s="672"/>
      <c r="J122" s="672"/>
      <c r="K122" s="672"/>
      <c r="L122" s="149" t="str">
        <f t="shared" si="5"/>
        <v>279B</v>
      </c>
      <c r="M122" s="150" t="str">
        <f t="shared" si="6"/>
        <v>FPA AUTRES</v>
      </c>
      <c r="N122" s="151">
        <f>+IF(OR($Q122=Parametres!$G$2,$Q122=Parametres!$G$3),I122,C122)</f>
        <v>-25794.9</v>
      </c>
      <c r="O122" s="504">
        <f>+IF(OR($Q122=Parametres!$G$2,$Q122=Parametres!$G$3),J122,D122)</f>
        <v>9454.3700000000008</v>
      </c>
      <c r="P122" s="151">
        <f>+IF(OR($Q122=Parametres!$G$2,$Q122=Parametres!$G$3),K122,E122)</f>
        <v>-16340.53</v>
      </c>
      <c r="Q122" s="150" t="str">
        <f t="shared" si="7"/>
        <v>2-Actifs</v>
      </c>
      <c r="R122" s="149" t="str">
        <f t="shared" si="8"/>
        <v>274</v>
      </c>
      <c r="S122" s="150" t="str">
        <f t="shared" si="9"/>
        <v>_</v>
      </c>
      <c r="T122" s="152" t="str">
        <f>+VLOOKUP($L122,Data_Validation!$A:$D,1,0)</f>
        <v>279B</v>
      </c>
      <c r="U122" s="152" t="str">
        <f>+VLOOKUP($L122,Data_Validation!$A:$D,3,0)</f>
        <v>Bilan</v>
      </c>
      <c r="V122" s="152" t="str">
        <f>+VLOOKUP($L122,Data_Validation!$A:$D,4,0)</f>
        <v>Frais Payés d'Avance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2943</v>
      </c>
      <c r="B123" s="718" t="s">
        <v>2944</v>
      </c>
      <c r="C123" s="720">
        <v>-4766.3</v>
      </c>
      <c r="D123" s="720">
        <v>-685.06</v>
      </c>
      <c r="E123" s="720">
        <v>-5451.36</v>
      </c>
      <c r="F123" s="718" t="s">
        <v>2226</v>
      </c>
      <c r="G123" s="718" t="s">
        <v>2944</v>
      </c>
      <c r="H123" s="607" t="s">
        <v>2971</v>
      </c>
      <c r="I123" s="153"/>
      <c r="J123" s="153"/>
      <c r="K123" s="153"/>
      <c r="L123" s="149" t="str">
        <f t="shared" si="5"/>
        <v>279F</v>
      </c>
      <c r="M123" s="150" t="str">
        <f t="shared" si="6"/>
        <v>CREDITS INTERETS FLOOR PLAN</v>
      </c>
      <c r="N123" s="151">
        <f>+IF(OR($Q123=Parametres!$G$2,$Q123=Parametres!$G$3),I123,C123)</f>
        <v>-4766.3</v>
      </c>
      <c r="O123" s="504">
        <f>+IF(OR($Q123=Parametres!$G$2,$Q123=Parametres!$G$3),J123,D123)</f>
        <v>-685.06</v>
      </c>
      <c r="P123" s="151">
        <f>+IF(OR($Q123=Parametres!$G$2,$Q123=Parametres!$G$3),K123,E123)</f>
        <v>-5451.36</v>
      </c>
      <c r="Q123" s="150" t="str">
        <f t="shared" si="7"/>
        <v>2-Actifs</v>
      </c>
      <c r="R123" s="149" t="str">
        <f t="shared" si="8"/>
        <v>279F</v>
      </c>
      <c r="S123" s="150" t="str">
        <f t="shared" si="9"/>
        <v>_</v>
      </c>
      <c r="T123" s="152" t="str">
        <f>+VLOOKUP($L123,Data_Validation!$A:$D,1,0)</f>
        <v>279F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1184</v>
      </c>
      <c r="B124" s="718" t="s">
        <v>388</v>
      </c>
      <c r="C124" s="720">
        <v>674528.72</v>
      </c>
      <c r="D124" s="720">
        <v>558.6</v>
      </c>
      <c r="E124" s="720">
        <v>675087.32</v>
      </c>
      <c r="F124" s="718" t="s">
        <v>2226</v>
      </c>
      <c r="G124" s="718" t="s">
        <v>388</v>
      </c>
      <c r="H124" s="609" t="s">
        <v>2971</v>
      </c>
      <c r="I124" s="608"/>
      <c r="J124" s="608"/>
      <c r="K124" s="608"/>
      <c r="L124" s="149" t="str">
        <f t="shared" si="5"/>
        <v>282</v>
      </c>
      <c r="M124" s="150" t="str">
        <f t="shared" si="6"/>
        <v>EQUIPEMENTS &amp; OUTILLAGES</v>
      </c>
      <c r="N124" s="151">
        <f>+IF(OR($Q124=Parametres!$G$2,$Q124=Parametres!$G$3),I124,C124)</f>
        <v>674528.72</v>
      </c>
      <c r="O124" s="151">
        <f>+IF(OR($Q124=Parametres!$G$2,$Q124=Parametres!$G$3),J124,D124)</f>
        <v>558.6</v>
      </c>
      <c r="P124" s="151">
        <f>+IF(OR($Q124=Parametres!$G$2,$Q124=Parametres!$G$3),K124,E124)</f>
        <v>675087.32</v>
      </c>
      <c r="Q124" s="150" t="str">
        <f t="shared" si="7"/>
        <v>2-Actifs</v>
      </c>
      <c r="R124" s="149" t="str">
        <f t="shared" si="8"/>
        <v>282</v>
      </c>
      <c r="S124" s="150" t="str">
        <f t="shared" si="9"/>
        <v>_</v>
      </c>
      <c r="T124" s="152" t="str">
        <f>+VLOOKUP($L124,Data_Validation!$A:$D,1,0)</f>
        <v>282</v>
      </c>
      <c r="U124" s="152" t="str">
        <f>+VLOOKUP($L124,Data_Validation!$A:$D,3,0)</f>
        <v>Bilan</v>
      </c>
      <c r="V124" s="152" t="str">
        <f>+VLOOKUP($L124,Data_Validation!$A:$D,4,0)</f>
        <v>Équipements Service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1356</v>
      </c>
      <c r="B125" s="718" t="s">
        <v>381</v>
      </c>
      <c r="C125" s="720">
        <v>17171.47</v>
      </c>
      <c r="D125" s="720">
        <v>0</v>
      </c>
      <c r="E125" s="720">
        <v>17171.47</v>
      </c>
      <c r="F125" s="718" t="s">
        <v>2226</v>
      </c>
      <c r="G125" s="718" t="s">
        <v>381</v>
      </c>
      <c r="H125" s="607" t="s">
        <v>2971</v>
      </c>
      <c r="I125" s="608"/>
      <c r="J125" s="608"/>
      <c r="K125" s="608"/>
      <c r="L125" s="149" t="str">
        <f t="shared" si="5"/>
        <v>283</v>
      </c>
      <c r="M125" s="150" t="str">
        <f t="shared" si="6"/>
        <v>EQUIPEMENTS PIECES &amp; ACCESSOIRES</v>
      </c>
      <c r="N125" s="151">
        <f>+IF(OR($Q125=Parametres!$G$2,$Q125=Parametres!$G$3),I125,C125)</f>
        <v>17171.47</v>
      </c>
      <c r="O125" s="151">
        <f>+IF(OR($Q125=Parametres!$G$2,$Q125=Parametres!$G$3),J125,D125)</f>
        <v>0</v>
      </c>
      <c r="P125" s="151">
        <f>+IF(OR($Q125=Parametres!$G$2,$Q125=Parametres!$G$3),K125,E125)</f>
        <v>17171.47</v>
      </c>
      <c r="Q125" s="150" t="str">
        <f t="shared" si="7"/>
        <v>2-Actifs</v>
      </c>
      <c r="R125" s="149" t="str">
        <f t="shared" si="8"/>
        <v>283</v>
      </c>
      <c r="S125" s="150" t="str">
        <f t="shared" si="9"/>
        <v>_</v>
      </c>
      <c r="T125" s="152" t="str">
        <f>+VLOOKUP($L125,Data_Validation!$A:$D,1,0)</f>
        <v>283</v>
      </c>
      <c r="U125" s="152" t="str">
        <f>+VLOOKUP($L125,Data_Validation!$A:$D,3,0)</f>
        <v>Bilan</v>
      </c>
      <c r="V125" s="152" t="str">
        <f>+VLOOKUP($L125,Data_Validation!$A:$D,4,0)</f>
        <v>Équipements Service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1357</v>
      </c>
      <c r="B126" s="718" t="s">
        <v>1358</v>
      </c>
      <c r="C126" s="720">
        <v>493886.91</v>
      </c>
      <c r="D126" s="720">
        <v>0</v>
      </c>
      <c r="E126" s="720">
        <v>493886.91</v>
      </c>
      <c r="F126" s="718" t="s">
        <v>2226</v>
      </c>
      <c r="G126" s="718" t="s">
        <v>1358</v>
      </c>
      <c r="H126" s="673" t="s">
        <v>2971</v>
      </c>
      <c r="I126" s="673"/>
      <c r="J126" s="673"/>
      <c r="K126" s="673"/>
      <c r="L126" s="149" t="str">
        <f t="shared" si="5"/>
        <v>284A</v>
      </c>
      <c r="M126" s="150" t="str">
        <f t="shared" si="6"/>
        <v>MEUBLES &amp; ACCESSOIRES</v>
      </c>
      <c r="N126" s="151">
        <f>+IF(OR($Q126=Parametres!$G$2,$Q126=Parametres!$G$3),I126,C126)</f>
        <v>493886.91</v>
      </c>
      <c r="O126" s="504">
        <f>+IF(OR($Q126=Parametres!$G$2,$Q126=Parametres!$G$3),J126,D126)</f>
        <v>0</v>
      </c>
      <c r="P126" s="151">
        <f>+IF(OR($Q126=Parametres!$G$2,$Q126=Parametres!$G$3),K126,E126)</f>
        <v>493886.91</v>
      </c>
      <c r="Q126" s="150" t="str">
        <f t="shared" si="7"/>
        <v>2-Actifs</v>
      </c>
      <c r="R126" s="149" t="str">
        <f t="shared" si="8"/>
        <v>284A</v>
      </c>
      <c r="S126" s="150" t="str">
        <f t="shared" si="9"/>
        <v>_</v>
      </c>
      <c r="T126" s="152" t="str">
        <f>+VLOOKUP($L126,Data_Validation!$A:$D,1,0)</f>
        <v>284A</v>
      </c>
      <c r="U126" s="152" t="str">
        <f>+VLOOKUP($L126,Data_Validation!$A:$D,3,0)</f>
        <v>Bilan</v>
      </c>
      <c r="V126" s="152" t="str">
        <f>+VLOOKUP($L126,Data_Validation!$A:$D,4,0)</f>
        <v>Mobilier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1359</v>
      </c>
      <c r="B127" s="718" t="s">
        <v>1360</v>
      </c>
      <c r="C127" s="720">
        <v>77175.42</v>
      </c>
      <c r="D127" s="720">
        <v>0</v>
      </c>
      <c r="E127" s="720">
        <v>77175.42</v>
      </c>
      <c r="F127" s="718" t="s">
        <v>2226</v>
      </c>
      <c r="G127" s="718" t="s">
        <v>1360</v>
      </c>
      <c r="H127" s="673" t="s">
        <v>2971</v>
      </c>
      <c r="I127" s="672"/>
      <c r="J127" s="672"/>
      <c r="K127" s="672"/>
      <c r="L127" s="149" t="str">
        <f t="shared" si="5"/>
        <v>284B</v>
      </c>
      <c r="M127" s="150" t="str">
        <f t="shared" si="6"/>
        <v>ENSEIGNE</v>
      </c>
      <c r="N127" s="151">
        <f>+IF(OR($Q127=Parametres!$G$2,$Q127=Parametres!$G$3),I127,C127)</f>
        <v>77175.42</v>
      </c>
      <c r="O127" s="504">
        <f>+IF(OR($Q127=Parametres!$G$2,$Q127=Parametres!$G$3),J127,D127)</f>
        <v>0</v>
      </c>
      <c r="P127" s="151">
        <f>+IF(OR($Q127=Parametres!$G$2,$Q127=Parametres!$G$3),K127,E127)</f>
        <v>77175.42</v>
      </c>
      <c r="Q127" s="150" t="str">
        <f t="shared" si="7"/>
        <v>2-Actifs</v>
      </c>
      <c r="R127" s="149" t="str">
        <f t="shared" si="8"/>
        <v>284B</v>
      </c>
      <c r="S127" s="150" t="str">
        <f t="shared" si="9"/>
        <v>_</v>
      </c>
      <c r="T127" s="152" t="str">
        <f>+VLOOKUP($L127,Data_Validation!$A:$D,1,0)</f>
        <v>284B</v>
      </c>
      <c r="U127" s="152" t="str">
        <f>+VLOOKUP($L127,Data_Validation!$A:$D,3,0)</f>
        <v>Bilan</v>
      </c>
      <c r="V127" s="152" t="str">
        <f>+VLOOKUP($L127,Data_Validation!$A:$D,4,0)</f>
        <v>Enseigne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1361</v>
      </c>
      <c r="B128" s="718" t="s">
        <v>1362</v>
      </c>
      <c r="C128" s="719">
        <v>173836.57</v>
      </c>
      <c r="D128" s="719">
        <v>0</v>
      </c>
      <c r="E128" s="719">
        <v>173836.57</v>
      </c>
      <c r="F128" s="718" t="s">
        <v>2226</v>
      </c>
      <c r="G128" s="718" t="s">
        <v>1362</v>
      </c>
      <c r="H128" s="719" t="s">
        <v>2971</v>
      </c>
      <c r="I128" s="720"/>
      <c r="J128" s="720"/>
      <c r="K128" s="720"/>
      <c r="L128" s="149" t="str">
        <f t="shared" si="5"/>
        <v>284C</v>
      </c>
      <c r="M128" s="150" t="str">
        <f t="shared" si="6"/>
        <v>EQUIPEMENTS INFORMATIQUE</v>
      </c>
      <c r="N128" s="151">
        <f>+IF(OR($Q128=Parametres!$G$2,$Q128=Parametres!$G$3),I128,C128)</f>
        <v>173836.57</v>
      </c>
      <c r="O128" s="151">
        <f>+IF(OR($Q128=Parametres!$G$2,$Q128=Parametres!$G$3),J128,D128)</f>
        <v>0</v>
      </c>
      <c r="P128" s="151">
        <f>+IF(OR($Q128=Parametres!$G$2,$Q128=Parametres!$G$3),K128,E128)</f>
        <v>173836.57</v>
      </c>
      <c r="Q128" s="150" t="str">
        <f t="shared" si="7"/>
        <v>2-Actifs</v>
      </c>
      <c r="R128" s="149" t="str">
        <f t="shared" si="8"/>
        <v>284C</v>
      </c>
      <c r="S128" s="150" t="str">
        <f t="shared" si="9"/>
        <v>_</v>
      </c>
      <c r="T128" s="152" t="str">
        <f>+VLOOKUP($L128,Data_Validation!$A:$D,1,0)</f>
        <v>284C</v>
      </c>
      <c r="U128" s="152" t="str">
        <f>+VLOOKUP($L128,Data_Validation!$A:$D,3,0)</f>
        <v>Bilan</v>
      </c>
      <c r="V128" s="152" t="str">
        <f>+VLOOKUP($L128,Data_Validation!$A:$D,4,0)</f>
        <v>Équipements Informatique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1365</v>
      </c>
      <c r="B129" s="718" t="s">
        <v>376</v>
      </c>
      <c r="C129" s="720">
        <v>2144.98</v>
      </c>
      <c r="D129" s="720">
        <v>0</v>
      </c>
      <c r="E129" s="720">
        <v>2144.98</v>
      </c>
      <c r="F129" s="718" t="s">
        <v>2226</v>
      </c>
      <c r="G129" s="718" t="s">
        <v>376</v>
      </c>
      <c r="H129" s="673" t="s">
        <v>2971</v>
      </c>
      <c r="I129" s="672"/>
      <c r="J129" s="672"/>
      <c r="K129" s="672"/>
      <c r="L129" s="149" t="str">
        <f t="shared" si="5"/>
        <v>285</v>
      </c>
      <c r="M129" s="150" t="str">
        <f t="shared" si="6"/>
        <v>VEHICULES DE COMPAGNIE</v>
      </c>
      <c r="N129" s="151">
        <f>+IF(OR($Q129=Parametres!$G$2,$Q129=Parametres!$G$3),I129,C129)</f>
        <v>2144.98</v>
      </c>
      <c r="O129" s="151">
        <f>+IF(OR($Q129=Parametres!$G$2,$Q129=Parametres!$G$3),J129,D129)</f>
        <v>0</v>
      </c>
      <c r="P129" s="151">
        <f>+IF(OR($Q129=Parametres!$G$2,$Q129=Parametres!$G$3),K129,E129)</f>
        <v>2144.98</v>
      </c>
      <c r="Q129" s="150" t="str">
        <f t="shared" si="7"/>
        <v>2-Actifs</v>
      </c>
      <c r="R129" s="149" t="str">
        <f t="shared" si="8"/>
        <v>285</v>
      </c>
      <c r="S129" s="150" t="str">
        <f t="shared" si="9"/>
        <v>_</v>
      </c>
      <c r="T129" s="152" t="str">
        <f>+VLOOKUP($L129,Data_Validation!$A:$D,1,0)</f>
        <v>285</v>
      </c>
      <c r="U129" s="152" t="str">
        <f>+VLOOKUP($L129,Data_Validation!$A:$D,3,0)</f>
        <v>Bilan</v>
      </c>
      <c r="V129" s="152" t="str">
        <f>+VLOOKUP($L129,Data_Validation!$A:$D,4,0)</f>
        <v>Équipements Service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1020</v>
      </c>
      <c r="B130" s="718" t="s">
        <v>600</v>
      </c>
      <c r="C130" s="720">
        <v>1378346.87</v>
      </c>
      <c r="D130" s="720">
        <v>0</v>
      </c>
      <c r="E130" s="720">
        <v>1378346.87</v>
      </c>
      <c r="F130" s="718" t="s">
        <v>2226</v>
      </c>
      <c r="G130" s="718" t="s">
        <v>600</v>
      </c>
      <c r="H130" s="673" t="s">
        <v>2971</v>
      </c>
      <c r="I130" s="672"/>
      <c r="J130" s="672"/>
      <c r="K130" s="672"/>
      <c r="L130" s="149" t="str">
        <f t="shared" ref="L130:L193" si="10">+B130</f>
        <v>286</v>
      </c>
      <c r="M130" s="150" t="str">
        <f t="shared" ref="M130:M193" si="11">+A130</f>
        <v>AMELIORATION LOCATIVE</v>
      </c>
      <c r="N130" s="151">
        <f>+IF(OR($Q130=Parametres!$G$2,$Q130=Parametres!$G$3),I130,C130)</f>
        <v>1378346.87</v>
      </c>
      <c r="O130" s="151">
        <f>+IF(OR($Q130=Parametres!$G$2,$Q130=Parametres!$G$3),J130,D130)</f>
        <v>0</v>
      </c>
      <c r="P130" s="151">
        <f>+IF(OR($Q130=Parametres!$G$2,$Q130=Parametres!$G$3),K130,E130)</f>
        <v>1378346.87</v>
      </c>
      <c r="Q130" s="150" t="str">
        <f t="shared" ref="Q130:Q193" si="12">+F130</f>
        <v>2-Actifs</v>
      </c>
      <c r="R130" s="149" t="str">
        <f t="shared" ref="R130:R193" si="13">+G130</f>
        <v>286</v>
      </c>
      <c r="S130" s="150" t="str">
        <f t="shared" ref="S130:S193" si="14">+H130</f>
        <v>_</v>
      </c>
      <c r="T130" s="152" t="str">
        <f>+VLOOKUP($L130,Data_Validation!$A:$D,1,0)</f>
        <v>286</v>
      </c>
      <c r="U130" s="152" t="str">
        <f>+VLOOKUP($L130,Data_Validation!$A:$D,3,0)</f>
        <v>Bilan</v>
      </c>
      <c r="V130" s="152" t="str">
        <f>+VLOOKUP($L130,Data_Validation!$A:$D,4,0)</f>
        <v>Améliorations Locatives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1021</v>
      </c>
      <c r="B131" s="718" t="s">
        <v>1022</v>
      </c>
      <c r="C131" s="720">
        <v>3000</v>
      </c>
      <c r="D131" s="720">
        <v>0</v>
      </c>
      <c r="E131" s="720">
        <v>3000</v>
      </c>
      <c r="F131" s="718" t="s">
        <v>2226</v>
      </c>
      <c r="G131" s="718" t="s">
        <v>1022</v>
      </c>
      <c r="H131" s="673" t="s">
        <v>2971</v>
      </c>
      <c r="I131" s="672"/>
      <c r="J131" s="672"/>
      <c r="K131" s="672"/>
      <c r="L131" s="149" t="str">
        <f t="shared" si="10"/>
        <v>290</v>
      </c>
      <c r="M131" s="150" t="str">
        <f t="shared" si="11"/>
        <v>DEPOTS SUR CONTRATS</v>
      </c>
      <c r="N131" s="151">
        <f>+IF(OR($Q131=Parametres!$G$2,$Q131=Parametres!$G$3),I131,C131)</f>
        <v>3000</v>
      </c>
      <c r="O131" s="151">
        <f>+IF(OR($Q131=Parametres!$G$2,$Q131=Parametres!$G$3),J131,D131)</f>
        <v>0</v>
      </c>
      <c r="P131" s="151">
        <f>+IF(OR($Q131=Parametres!$G$2,$Q131=Parametres!$G$3),K131,E131)</f>
        <v>3000</v>
      </c>
      <c r="Q131" s="150" t="str">
        <f t="shared" si="12"/>
        <v>2-Actifs</v>
      </c>
      <c r="R131" s="149" t="str">
        <f t="shared" si="13"/>
        <v>290</v>
      </c>
      <c r="S131" s="150" t="str">
        <f t="shared" si="14"/>
        <v>_</v>
      </c>
      <c r="T131" s="152" t="str">
        <f>+VLOOKUP($L131,Data_Validation!$A:$D,1,0)</f>
        <v>290</v>
      </c>
      <c r="U131" s="152" t="str">
        <f>+VLOOKUP($L131,Data_Validation!$A:$D,3,0)</f>
        <v>Bilan</v>
      </c>
      <c r="V131" s="152" t="str">
        <f>+VLOOKUP($L131,Data_Validation!$A:$D,4,0)</f>
        <v>Recevables Autres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1366</v>
      </c>
      <c r="B132" s="718" t="s">
        <v>1367</v>
      </c>
      <c r="C132" s="720">
        <v>4854961.3099999996</v>
      </c>
      <c r="D132" s="720">
        <v>0</v>
      </c>
      <c r="E132" s="720">
        <v>4854961.3099999996</v>
      </c>
      <c r="F132" s="718" t="s">
        <v>2226</v>
      </c>
      <c r="G132" s="718" t="s">
        <v>1367</v>
      </c>
      <c r="H132" s="673" t="s">
        <v>2971</v>
      </c>
      <c r="I132" s="672"/>
      <c r="J132" s="672"/>
      <c r="K132" s="672"/>
      <c r="L132" s="149" t="str">
        <f t="shared" si="10"/>
        <v>296</v>
      </c>
      <c r="M132" s="150" t="str">
        <f t="shared" si="11"/>
        <v>AUTRES ACTIFS NON-FRANCHISES</v>
      </c>
      <c r="N132" s="151">
        <f>+IF(OR($Q132=Parametres!$G$2,$Q132=Parametres!$G$3),I132,C132)</f>
        <v>4854961.3099999996</v>
      </c>
      <c r="O132" s="151">
        <f>+IF(OR($Q132=Parametres!$G$2,$Q132=Parametres!$G$3),J132,D132)</f>
        <v>0</v>
      </c>
      <c r="P132" s="151">
        <f>+IF(OR($Q132=Parametres!$G$2,$Q132=Parametres!$G$3),K132,E132)</f>
        <v>4854961.3099999996</v>
      </c>
      <c r="Q132" s="150" t="str">
        <f t="shared" si="12"/>
        <v>2-Actifs</v>
      </c>
      <c r="R132" s="149" t="str">
        <f t="shared" si="13"/>
        <v>296</v>
      </c>
      <c r="S132" s="150" t="str">
        <f t="shared" si="14"/>
        <v>_</v>
      </c>
      <c r="T132" s="152" t="str">
        <f>+VLOOKUP($L132,Data_Validation!$A:$D,1,0)</f>
        <v>296</v>
      </c>
      <c r="U132" s="152" t="str">
        <f>+VLOOKUP($L132,Data_Validation!$A:$D,3,0)</f>
        <v>Bilan</v>
      </c>
      <c r="V132" s="152" t="str">
        <f>+VLOOKUP($L132,Data_Validation!$A:$D,4,0)</f>
        <v>Achalandage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2492</v>
      </c>
      <c r="B133" s="718" t="s">
        <v>2493</v>
      </c>
      <c r="C133" s="720">
        <v>2325000</v>
      </c>
      <c r="D133" s="720">
        <v>175000</v>
      </c>
      <c r="E133" s="720">
        <v>2500000</v>
      </c>
      <c r="F133" s="718" t="s">
        <v>2226</v>
      </c>
      <c r="G133" s="718" t="s">
        <v>2493</v>
      </c>
      <c r="H133" s="673" t="s">
        <v>2971</v>
      </c>
      <c r="I133" s="672"/>
      <c r="J133" s="672"/>
      <c r="K133" s="672"/>
      <c r="L133" s="149" t="str">
        <f t="shared" si="10"/>
        <v>297</v>
      </c>
      <c r="M133" s="150" t="str">
        <f t="shared" si="11"/>
        <v>AUTRES NOTES &amp; RECEVABLES</v>
      </c>
      <c r="N133" s="151">
        <f>+IF(OR($Q133=Parametres!$G$2,$Q133=Parametres!$G$3),I133,C133)</f>
        <v>2325000</v>
      </c>
      <c r="O133" s="151">
        <f>+IF(OR($Q133=Parametres!$G$2,$Q133=Parametres!$G$3),J133,D133)</f>
        <v>175000</v>
      </c>
      <c r="P133" s="151">
        <f>+IF(OR($Q133=Parametres!$G$2,$Q133=Parametres!$G$3),K133,E133)</f>
        <v>2500000</v>
      </c>
      <c r="Q133" s="150" t="str">
        <f t="shared" si="12"/>
        <v>2-Actifs</v>
      </c>
      <c r="R133" s="149" t="str">
        <f t="shared" si="13"/>
        <v>297</v>
      </c>
      <c r="S133" s="150" t="str">
        <f t="shared" si="14"/>
        <v>_</v>
      </c>
      <c r="T133" s="152" t="str">
        <f>+VLOOKUP($L133,Data_Validation!$A:$D,1,0)</f>
        <v>297</v>
      </c>
      <c r="U133" s="152" t="str">
        <f>+VLOOKUP($L133,Data_Validation!$A:$D,3,0)</f>
        <v>Bilan</v>
      </c>
      <c r="V133" s="152" t="str">
        <f>+VLOOKUP($L133,Data_Validation!$A:$D,4,0)</f>
        <v>Avances à Recevoir Long Terme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1846</v>
      </c>
      <c r="B134" s="718" t="s">
        <v>354</v>
      </c>
      <c r="C134" s="720">
        <v>-148975.93</v>
      </c>
      <c r="D134" s="720">
        <v>-49260.45</v>
      </c>
      <c r="E134" s="720">
        <v>-198236.38</v>
      </c>
      <c r="F134" s="718" t="s">
        <v>2227</v>
      </c>
      <c r="G134" s="718" t="s">
        <v>354</v>
      </c>
      <c r="H134" s="673" t="s">
        <v>2971</v>
      </c>
      <c r="I134" s="672"/>
      <c r="J134" s="672"/>
      <c r="K134" s="672"/>
      <c r="L134" s="149" t="str">
        <f t="shared" si="10"/>
        <v>300</v>
      </c>
      <c r="M134" s="150" t="str">
        <f t="shared" si="11"/>
        <v>COMPTES FOURNISSEURS</v>
      </c>
      <c r="N134" s="151">
        <f>+IF(OR($Q134=Parametres!$G$2,$Q134=Parametres!$G$3),I134,C134)</f>
        <v>-148975.93</v>
      </c>
      <c r="O134" s="151">
        <f>+IF(OR($Q134=Parametres!$G$2,$Q134=Parametres!$G$3),J134,D134)</f>
        <v>-49260.45</v>
      </c>
      <c r="P134" s="151">
        <f>+IF(OR($Q134=Parametres!$G$2,$Q134=Parametres!$G$3),K134,E134)</f>
        <v>-198236.38</v>
      </c>
      <c r="Q134" s="150" t="str">
        <f t="shared" si="12"/>
        <v>3-Passifs</v>
      </c>
      <c r="R134" s="149" t="str">
        <f t="shared" si="13"/>
        <v>300</v>
      </c>
      <c r="S134" s="150" t="str">
        <f t="shared" si="14"/>
        <v>_</v>
      </c>
      <c r="T134" s="152" t="str">
        <f>+VLOOKUP($L134,Data_Validation!$A:$D,1,0)</f>
        <v>300</v>
      </c>
      <c r="U134" s="152" t="str">
        <f>+VLOOKUP($L134,Data_Validation!$A:$D,3,0)</f>
        <v>Bilan</v>
      </c>
      <c r="V134" s="152" t="str">
        <f>+VLOOKUP($L134,Data_Validation!$A:$D,4,0)</f>
        <v>Comptes à Payer Fournisseurs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1855</v>
      </c>
      <c r="B135" s="718" t="s">
        <v>984</v>
      </c>
      <c r="C135" s="720">
        <v>-63332.07</v>
      </c>
      <c r="D135" s="720">
        <v>-366764.02</v>
      </c>
      <c r="E135" s="720">
        <v>-430096.09</v>
      </c>
      <c r="F135" s="718" t="s">
        <v>2227</v>
      </c>
      <c r="G135" s="718" t="s">
        <v>354</v>
      </c>
      <c r="H135" s="673" t="s">
        <v>2971</v>
      </c>
      <c r="I135" s="672"/>
      <c r="J135" s="672"/>
      <c r="K135" s="672"/>
      <c r="L135" s="149" t="str">
        <f t="shared" si="10"/>
        <v>300A</v>
      </c>
      <c r="M135" s="150" t="str">
        <f t="shared" si="11"/>
        <v>ECHANGE ENTRE CONCESSIONNAIRE</v>
      </c>
      <c r="N135" s="151">
        <f>+IF(OR($Q135=Parametres!$G$2,$Q135=Parametres!$G$3),I135,C135)</f>
        <v>-63332.07</v>
      </c>
      <c r="O135" s="151">
        <f>+IF(OR($Q135=Parametres!$G$2,$Q135=Parametres!$G$3),J135,D135)</f>
        <v>-366764.02</v>
      </c>
      <c r="P135" s="151">
        <f>+IF(OR($Q135=Parametres!$G$2,$Q135=Parametres!$G$3),K135,E135)</f>
        <v>-430096.09</v>
      </c>
      <c r="Q135" s="150" t="str">
        <f t="shared" si="12"/>
        <v>3-Passifs</v>
      </c>
      <c r="R135" s="149" t="str">
        <f t="shared" si="13"/>
        <v>300</v>
      </c>
      <c r="S135" s="150" t="str">
        <f t="shared" si="14"/>
        <v>_</v>
      </c>
      <c r="T135" s="152" t="str">
        <f>+VLOOKUP($L135,Data_Validation!$A:$D,1,0)</f>
        <v>300A</v>
      </c>
      <c r="U135" s="152" t="str">
        <f>+VLOOKUP($L135,Data_Validation!$A:$D,3,0)</f>
        <v>Bilan</v>
      </c>
      <c r="V135" s="152" t="str">
        <f>+VLOOKUP($L135,Data_Validation!$A:$D,4,0)</f>
        <v>Autres Comptes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1835</v>
      </c>
      <c r="B136" s="718" t="s">
        <v>957</v>
      </c>
      <c r="C136" s="719">
        <v>64736.04</v>
      </c>
      <c r="D136" s="719">
        <v>107104.85</v>
      </c>
      <c r="E136" s="719">
        <v>171840.89</v>
      </c>
      <c r="F136" s="718" t="s">
        <v>2227</v>
      </c>
      <c r="G136" s="718" t="s">
        <v>354</v>
      </c>
      <c r="H136" s="719" t="s">
        <v>2971</v>
      </c>
      <c r="I136" s="720"/>
      <c r="J136" s="720"/>
      <c r="K136" s="720"/>
      <c r="L136" s="149" t="str">
        <f t="shared" si="10"/>
        <v>300B</v>
      </c>
      <c r="M136" s="150" t="str">
        <f t="shared" si="11"/>
        <v>ETAT DE COMPTE BMW CANADA</v>
      </c>
      <c r="N136" s="151">
        <f>+IF(OR($Q136=Parametres!$G$2,$Q136=Parametres!$G$3),I136,C136)</f>
        <v>64736.04</v>
      </c>
      <c r="O136" s="151">
        <f>+IF(OR($Q136=Parametres!$G$2,$Q136=Parametres!$G$3),J136,D136)</f>
        <v>107104.85</v>
      </c>
      <c r="P136" s="151">
        <f>+IF(OR($Q136=Parametres!$G$2,$Q136=Parametres!$G$3),K136,E136)</f>
        <v>171840.89</v>
      </c>
      <c r="Q136" s="150" t="str">
        <f t="shared" si="12"/>
        <v>3-Passifs</v>
      </c>
      <c r="R136" s="149" t="str">
        <f t="shared" si="13"/>
        <v>300</v>
      </c>
      <c r="S136" s="150" t="str">
        <f t="shared" si="14"/>
        <v>_</v>
      </c>
      <c r="T136" s="152" t="str">
        <f>+VLOOKUP($L136,Data_Validation!$A:$D,1,0)</f>
        <v>300B</v>
      </c>
      <c r="U136" s="152" t="str">
        <f>+VLOOKUP($L136,Data_Validation!$A:$D,3,0)</f>
        <v>Bilan</v>
      </c>
      <c r="V136" s="152" t="str">
        <f>+VLOOKUP($L136,Data_Validation!$A:$D,4,0)</f>
        <v>Autres Comptes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1929</v>
      </c>
      <c r="B137" s="718" t="s">
        <v>1930</v>
      </c>
      <c r="C137" s="720">
        <v>0</v>
      </c>
      <c r="D137" s="720">
        <v>-13338.75</v>
      </c>
      <c r="E137" s="720">
        <v>-13338.75</v>
      </c>
      <c r="F137" s="718" t="s">
        <v>2227</v>
      </c>
      <c r="G137" s="718" t="s">
        <v>354</v>
      </c>
      <c r="H137" s="673" t="s">
        <v>2971</v>
      </c>
      <c r="I137" s="672"/>
      <c r="J137" s="672"/>
      <c r="K137" s="672"/>
      <c r="L137" s="149" t="str">
        <f t="shared" si="10"/>
        <v>300C</v>
      </c>
      <c r="M137" s="150" t="str">
        <f t="shared" si="11"/>
        <v>ASSURANCE REMPLACEMENT A/P</v>
      </c>
      <c r="N137" s="151">
        <f>+IF(OR($Q137=Parametres!$G$2,$Q137=Parametres!$G$3),I137,C137)</f>
        <v>0</v>
      </c>
      <c r="O137" s="151">
        <f>+IF(OR($Q137=Parametres!$G$2,$Q137=Parametres!$G$3),J137,D137)</f>
        <v>-13338.75</v>
      </c>
      <c r="P137" s="151">
        <f>+IF(OR($Q137=Parametres!$G$2,$Q137=Parametres!$G$3),K137,E137)</f>
        <v>-13338.75</v>
      </c>
      <c r="Q137" s="150" t="str">
        <f t="shared" si="12"/>
        <v>3-Passifs</v>
      </c>
      <c r="R137" s="149" t="str">
        <f t="shared" si="13"/>
        <v>300</v>
      </c>
      <c r="S137" s="150" t="str">
        <f t="shared" si="14"/>
        <v>_</v>
      </c>
      <c r="T137" s="152" t="str">
        <f>+VLOOKUP($L137,Data_Validation!$A:$D,1,0)</f>
        <v>300C</v>
      </c>
      <c r="U137" s="152" t="str">
        <f>+VLOOKUP($L137,Data_Validation!$A:$D,3,0)</f>
        <v>Bilan</v>
      </c>
      <c r="V137" s="152" t="str">
        <f>+VLOOKUP($L137,Data_Validation!$A:$D,4,0)</f>
        <v>Autres Comptes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1685</v>
      </c>
      <c r="B138" s="718" t="s">
        <v>1017</v>
      </c>
      <c r="C138" s="720">
        <v>-32571.95</v>
      </c>
      <c r="D138" s="720">
        <v>-33781.85</v>
      </c>
      <c r="E138" s="720">
        <v>-66353.8</v>
      </c>
      <c r="F138" s="718" t="s">
        <v>2227</v>
      </c>
      <c r="G138" s="718" t="s">
        <v>354</v>
      </c>
      <c r="H138" s="673" t="s">
        <v>2971</v>
      </c>
      <c r="I138" s="672"/>
      <c r="J138" s="672"/>
      <c r="K138" s="672"/>
      <c r="L138" s="149" t="str">
        <f t="shared" si="10"/>
        <v>300D</v>
      </c>
      <c r="M138" s="150" t="str">
        <f t="shared" si="11"/>
        <v>PAYABLE BMW CANADA/FINANCE</v>
      </c>
      <c r="N138" s="151">
        <f>+IF(OR($Q138=Parametres!$G$2,$Q138=Parametres!$G$3),I138,C138)</f>
        <v>-32571.95</v>
      </c>
      <c r="O138" s="504">
        <f>+IF(OR($Q138=Parametres!$G$2,$Q138=Parametres!$G$3),J138,D138)</f>
        <v>-33781.85</v>
      </c>
      <c r="P138" s="151">
        <f>+IF(OR($Q138=Parametres!$G$2,$Q138=Parametres!$G$3),K138,E138)</f>
        <v>-66353.8</v>
      </c>
      <c r="Q138" s="150" t="str">
        <f t="shared" si="12"/>
        <v>3-Passifs</v>
      </c>
      <c r="R138" s="149" t="str">
        <f t="shared" si="13"/>
        <v>300</v>
      </c>
      <c r="S138" s="150" t="str">
        <f t="shared" si="14"/>
        <v>_</v>
      </c>
      <c r="T138" s="152" t="str">
        <f>+VLOOKUP($L138,Data_Validation!$A:$D,1,0)</f>
        <v>300D</v>
      </c>
      <c r="U138" s="152" t="str">
        <f>+VLOOKUP($L138,Data_Validation!$A:$D,3,0)</f>
        <v>Bilan</v>
      </c>
      <c r="V138" s="152" t="str">
        <f>+VLOOKUP($L138,Data_Validation!$A:$D,4,0)</f>
        <v>Autres Comptes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1220</v>
      </c>
      <c r="B139" s="718" t="s">
        <v>862</v>
      </c>
      <c r="C139" s="720">
        <v>0</v>
      </c>
      <c r="D139" s="720">
        <v>-10999.32</v>
      </c>
      <c r="E139" s="720">
        <v>-10999.32</v>
      </c>
      <c r="F139" s="718" t="s">
        <v>2227</v>
      </c>
      <c r="G139" s="718" t="s">
        <v>354</v>
      </c>
      <c r="H139" s="673" t="s">
        <v>2971</v>
      </c>
      <c r="I139" s="673"/>
      <c r="J139" s="673"/>
      <c r="K139" s="673"/>
      <c r="L139" s="149" t="str">
        <f t="shared" si="10"/>
        <v>300E</v>
      </c>
      <c r="M139" s="150" t="str">
        <f t="shared" si="11"/>
        <v>ASS VIE/INV A/P</v>
      </c>
      <c r="N139" s="151">
        <f>+IF(OR($Q139=Parametres!$G$2,$Q139=Parametres!$G$3),I139,C139)</f>
        <v>0</v>
      </c>
      <c r="O139" s="151">
        <f>+IF(OR($Q139=Parametres!$G$2,$Q139=Parametres!$G$3),J139,D139)</f>
        <v>-10999.32</v>
      </c>
      <c r="P139" s="151">
        <f>+IF(OR($Q139=Parametres!$G$2,$Q139=Parametres!$G$3),K139,E139)</f>
        <v>-10999.32</v>
      </c>
      <c r="Q139" s="150" t="str">
        <f t="shared" si="12"/>
        <v>3-Passifs</v>
      </c>
      <c r="R139" s="149" t="str">
        <f t="shared" si="13"/>
        <v>300</v>
      </c>
      <c r="S139" s="150" t="str">
        <f t="shared" si="14"/>
        <v>_</v>
      </c>
      <c r="T139" s="152" t="str">
        <f>+VLOOKUP($L139,Data_Validation!$A:$D,1,0)</f>
        <v>300E</v>
      </c>
      <c r="U139" s="152" t="str">
        <f>+VLOOKUP($L139,Data_Validation!$A:$D,3,0)</f>
        <v>Bilan</v>
      </c>
      <c r="V139" s="152" t="str">
        <f>+VLOOKUP($L139,Data_Validation!$A:$D,4,0)</f>
        <v>Autres Comptes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1814</v>
      </c>
      <c r="B140" s="718" t="s">
        <v>934</v>
      </c>
      <c r="C140" s="720">
        <v>-2500</v>
      </c>
      <c r="D140" s="720">
        <v>-1450</v>
      </c>
      <c r="E140" s="720">
        <v>-3950</v>
      </c>
      <c r="F140" s="718" t="s">
        <v>2227</v>
      </c>
      <c r="G140" s="718" t="s">
        <v>2249</v>
      </c>
      <c r="H140" s="673" t="s">
        <v>2971</v>
      </c>
      <c r="I140" s="672"/>
      <c r="J140" s="672"/>
      <c r="K140" s="672"/>
      <c r="L140" s="149" t="str">
        <f t="shared" si="10"/>
        <v>300F</v>
      </c>
      <c r="M140" s="150" t="str">
        <f t="shared" si="11"/>
        <v>RESERVE RENOUVELLEMENT LOCATION</v>
      </c>
      <c r="N140" s="151">
        <f>+IF(OR($Q140=Parametres!$G$2,$Q140=Parametres!$G$3),I140,C140)</f>
        <v>-2500</v>
      </c>
      <c r="O140" s="151">
        <f>+IF(OR($Q140=Parametres!$G$2,$Q140=Parametres!$G$3),J140,D140)</f>
        <v>-1450</v>
      </c>
      <c r="P140" s="151">
        <f>+IF(OR($Q140=Parametres!$G$2,$Q140=Parametres!$G$3),K140,E140)</f>
        <v>-3950</v>
      </c>
      <c r="Q140" s="150" t="str">
        <f t="shared" si="12"/>
        <v>3-Passifs</v>
      </c>
      <c r="R140" s="149" t="str">
        <f t="shared" si="13"/>
        <v>301</v>
      </c>
      <c r="S140" s="150" t="str">
        <f t="shared" si="14"/>
        <v>_</v>
      </c>
      <c r="T140" s="152" t="str">
        <f>+VLOOKUP($L140,Data_Validation!$A:$D,1,0)</f>
        <v>300F</v>
      </c>
      <c r="U140" s="152" t="str">
        <f>+VLOOKUP($L140,Data_Validation!$A:$D,3,0)</f>
        <v>Bilan</v>
      </c>
      <c r="V140" s="152" t="str">
        <f>+VLOOKUP($L140,Data_Validation!$A:$D,4,0)</f>
        <v>autres courus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1661</v>
      </c>
      <c r="B141" s="718" t="s">
        <v>885</v>
      </c>
      <c r="C141" s="719">
        <v>-23823.919999999998</v>
      </c>
      <c r="D141" s="719">
        <v>-2100</v>
      </c>
      <c r="E141" s="719">
        <v>-25923.919999999998</v>
      </c>
      <c r="F141" s="718" t="s">
        <v>2227</v>
      </c>
      <c r="G141" s="718" t="s">
        <v>2249</v>
      </c>
      <c r="H141" s="719" t="s">
        <v>2971</v>
      </c>
      <c r="I141" s="720"/>
      <c r="J141" s="720"/>
      <c r="K141" s="720"/>
      <c r="L141" s="149" t="str">
        <f t="shared" si="10"/>
        <v>300H</v>
      </c>
      <c r="M141" s="150" t="str">
        <f t="shared" si="11"/>
        <v>RESERVE GARANTIE LEGALE USAGE</v>
      </c>
      <c r="N141" s="151">
        <f>+IF(OR($Q141=Parametres!$G$2,$Q141=Parametres!$G$3),I141,C141)</f>
        <v>-23823.919999999998</v>
      </c>
      <c r="O141" s="151">
        <f>+IF(OR($Q141=Parametres!$G$2,$Q141=Parametres!$G$3),J141,D141)</f>
        <v>-2100</v>
      </c>
      <c r="P141" s="151">
        <f>+IF(OR($Q141=Parametres!$G$2,$Q141=Parametres!$G$3),K141,E141)</f>
        <v>-25923.919999999998</v>
      </c>
      <c r="Q141" s="150" t="str">
        <f t="shared" si="12"/>
        <v>3-Passifs</v>
      </c>
      <c r="R141" s="149" t="str">
        <f t="shared" si="13"/>
        <v>301</v>
      </c>
      <c r="S141" s="150" t="str">
        <f t="shared" si="14"/>
        <v>_</v>
      </c>
      <c r="T141" s="152" t="str">
        <f>+VLOOKUP($L141,Data_Validation!$A:$D,1,0)</f>
        <v>300H</v>
      </c>
      <c r="U141" s="152" t="str">
        <f>+VLOOKUP($L141,Data_Validation!$A:$D,3,0)</f>
        <v>Bilan</v>
      </c>
      <c r="V141" s="152" t="str">
        <f>+VLOOKUP($L141,Data_Validation!$A:$D,4,0)</f>
        <v>autres courus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1185</v>
      </c>
      <c r="B142" s="718" t="s">
        <v>459</v>
      </c>
      <c r="C142" s="719">
        <v>-9733.74</v>
      </c>
      <c r="D142" s="719">
        <v>-10263.57</v>
      </c>
      <c r="E142" s="719">
        <v>-19997.310000000001</v>
      </c>
      <c r="F142" s="718" t="s">
        <v>2227</v>
      </c>
      <c r="G142" s="718" t="s">
        <v>354</v>
      </c>
      <c r="H142" s="719" t="s">
        <v>2971</v>
      </c>
      <c r="I142" s="720"/>
      <c r="J142" s="720"/>
      <c r="K142" s="720"/>
      <c r="L142" s="149" t="str">
        <f t="shared" si="10"/>
        <v>300I</v>
      </c>
      <c r="M142" s="150" t="str">
        <f t="shared" si="11"/>
        <v>PROTECTION BMW A/P</v>
      </c>
      <c r="N142" s="151">
        <f>+IF(OR($Q142=Parametres!$G$2,$Q142=Parametres!$G$3),I142,C142)</f>
        <v>-9733.74</v>
      </c>
      <c r="O142" s="504">
        <f>+IF(OR($Q142=Parametres!$G$2,$Q142=Parametres!$G$3),J142,D142)</f>
        <v>-10263.57</v>
      </c>
      <c r="P142" s="151">
        <f>+IF(OR($Q142=Parametres!$G$2,$Q142=Parametres!$G$3),K142,E142)</f>
        <v>-19997.310000000001</v>
      </c>
      <c r="Q142" s="150" t="str">
        <f t="shared" si="12"/>
        <v>3-Passifs</v>
      </c>
      <c r="R142" s="149" t="str">
        <f t="shared" si="13"/>
        <v>300</v>
      </c>
      <c r="S142" s="150" t="str">
        <f t="shared" si="14"/>
        <v>_</v>
      </c>
      <c r="T142" s="152" t="str">
        <f>+VLOOKUP($L142,Data_Validation!$A:$D,1,0)</f>
        <v>300I</v>
      </c>
      <c r="U142" s="152" t="str">
        <f>+VLOOKUP($L142,Data_Validation!$A:$D,3,0)</f>
        <v>Bilan</v>
      </c>
      <c r="V142" s="152" t="str">
        <f>+VLOOKUP($L142,Data_Validation!$A:$D,4,0)</f>
        <v>Autres Comptes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2233</v>
      </c>
      <c r="B143" s="718" t="s">
        <v>2232</v>
      </c>
      <c r="C143" s="720">
        <v>-46348.08</v>
      </c>
      <c r="D143" s="720">
        <v>-37651.919999999998</v>
      </c>
      <c r="E143" s="720">
        <v>-84000</v>
      </c>
      <c r="F143" s="718" t="s">
        <v>2227</v>
      </c>
      <c r="G143" s="718" t="s">
        <v>354</v>
      </c>
      <c r="H143" s="666" t="s">
        <v>2971</v>
      </c>
      <c r="I143" s="665"/>
      <c r="J143" s="665"/>
      <c r="K143" s="665"/>
      <c r="L143" s="149" t="str">
        <f t="shared" si="10"/>
        <v>300L</v>
      </c>
      <c r="M143" s="150" t="str">
        <f t="shared" si="11"/>
        <v>A/P INTERCO WHOLESALE &amp; ECHANGE</v>
      </c>
      <c r="N143" s="151">
        <f>+IF(OR($Q143=Parametres!$G$2,$Q143=Parametres!$G$3),I143,C143)</f>
        <v>-46348.08</v>
      </c>
      <c r="O143" s="151">
        <f>+IF(OR($Q143=Parametres!$G$2,$Q143=Parametres!$G$3),J143,D143)</f>
        <v>-37651.919999999998</v>
      </c>
      <c r="P143" s="151">
        <f>+IF(OR($Q143=Parametres!$G$2,$Q143=Parametres!$G$3),K143,E143)</f>
        <v>-84000</v>
      </c>
      <c r="Q143" s="150" t="str">
        <f t="shared" si="12"/>
        <v>3-Passifs</v>
      </c>
      <c r="R143" s="149" t="str">
        <f t="shared" si="13"/>
        <v>300</v>
      </c>
      <c r="S143" s="150" t="str">
        <f t="shared" si="14"/>
        <v>_</v>
      </c>
      <c r="T143" s="152" t="str">
        <f>+VLOOKUP($L143,Data_Validation!$A:$D,1,0)</f>
        <v>300L</v>
      </c>
      <c r="U143" s="152" t="str">
        <f>+VLOOKUP($L143,Data_Validation!$A:$D,3,0)</f>
        <v>Bilan</v>
      </c>
      <c r="V143" s="152" t="str">
        <f>+VLOOKUP($L143,Data_Validation!$A:$D,4,0)</f>
        <v>Payables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2469</v>
      </c>
      <c r="B144" s="718" t="s">
        <v>2470</v>
      </c>
      <c r="C144" s="720">
        <v>-8752.3799999999992</v>
      </c>
      <c r="D144" s="720">
        <v>0</v>
      </c>
      <c r="E144" s="720">
        <v>-8752.3799999999992</v>
      </c>
      <c r="F144" s="718" t="s">
        <v>2227</v>
      </c>
      <c r="G144" s="718" t="s">
        <v>354</v>
      </c>
      <c r="H144" s="673" t="s">
        <v>2971</v>
      </c>
      <c r="I144" s="672"/>
      <c r="J144" s="672"/>
      <c r="K144" s="672"/>
      <c r="L144" s="149" t="str">
        <f t="shared" si="10"/>
        <v>300N</v>
      </c>
      <c r="M144" s="150" t="str">
        <f t="shared" si="11"/>
        <v>SAAQ A PAYER - INTERO COMPLEXE</v>
      </c>
      <c r="N144" s="151">
        <f>+IF(OR($Q144=Parametres!$G$2,$Q144=Parametres!$G$3),I144,C144)</f>
        <v>-8752.3799999999992</v>
      </c>
      <c r="O144" s="151">
        <f>+IF(OR($Q144=Parametres!$G$2,$Q144=Parametres!$G$3),J144,D144)</f>
        <v>0</v>
      </c>
      <c r="P144" s="151">
        <f>+IF(OR($Q144=Parametres!$G$2,$Q144=Parametres!$G$3),K144,E144)</f>
        <v>-8752.3799999999992</v>
      </c>
      <c r="Q144" s="150" t="str">
        <f t="shared" si="12"/>
        <v>3-Passifs</v>
      </c>
      <c r="R144" s="149" t="str">
        <f t="shared" si="13"/>
        <v>300</v>
      </c>
      <c r="S144" s="150" t="str">
        <f t="shared" si="14"/>
        <v>_</v>
      </c>
      <c r="T144" s="152" t="str">
        <f>+VLOOKUP($L144,Data_Validation!$A:$D,1,0)</f>
        <v>300N</v>
      </c>
      <c r="U144" s="152" t="str">
        <f>+VLOOKUP($L144,Data_Validation!$A:$D,3,0)</f>
        <v>Bilan</v>
      </c>
      <c r="V144" s="152" t="str">
        <f>+VLOOKUP($L144,Data_Validation!$A:$D,4,0)</f>
        <v>Payables Intercos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2199</v>
      </c>
      <c r="B145" s="718" t="s">
        <v>2200</v>
      </c>
      <c r="C145" s="720">
        <v>-65320.01</v>
      </c>
      <c r="D145" s="720">
        <v>-5782.52</v>
      </c>
      <c r="E145" s="720">
        <v>-71102.53</v>
      </c>
      <c r="F145" s="718" t="s">
        <v>2227</v>
      </c>
      <c r="G145" s="718" t="s">
        <v>354</v>
      </c>
      <c r="H145" s="673" t="s">
        <v>2971</v>
      </c>
      <c r="I145" s="672"/>
      <c r="J145" s="672"/>
      <c r="K145" s="672"/>
      <c r="L145" s="149" t="str">
        <f t="shared" si="10"/>
        <v>300O</v>
      </c>
      <c r="M145" s="150" t="str">
        <f t="shared" si="11"/>
        <v>A/P INTERCO FOURNISSEURS</v>
      </c>
      <c r="N145" s="151">
        <f>+IF(OR($Q145=Parametres!$G$2,$Q145=Parametres!$G$3),I145,C145)</f>
        <v>-65320.01</v>
      </c>
      <c r="O145" s="151">
        <f>+IF(OR($Q145=Parametres!$G$2,$Q145=Parametres!$G$3),J145,D145)</f>
        <v>-5782.52</v>
      </c>
      <c r="P145" s="151">
        <f>+IF(OR($Q145=Parametres!$G$2,$Q145=Parametres!$G$3),K145,E145)</f>
        <v>-71102.53</v>
      </c>
      <c r="Q145" s="150" t="str">
        <f t="shared" si="12"/>
        <v>3-Passifs</v>
      </c>
      <c r="R145" s="149" t="str">
        <f t="shared" si="13"/>
        <v>300</v>
      </c>
      <c r="S145" s="150" t="str">
        <f t="shared" si="14"/>
        <v>_</v>
      </c>
      <c r="T145" s="152" t="str">
        <f>+VLOOKUP($L145,Data_Validation!$A:$D,1,0)</f>
        <v>300O</v>
      </c>
      <c r="U145" s="152" t="str">
        <f>+VLOOKUP($L145,Data_Validation!$A:$D,3,0)</f>
        <v>Bilan</v>
      </c>
      <c r="V145" s="152" t="str">
        <f>+VLOOKUP($L145,Data_Validation!$A:$D,4,0)</f>
        <v>Payables Intercos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2420</v>
      </c>
      <c r="B146" s="718" t="s">
        <v>2421</v>
      </c>
      <c r="C146" s="720">
        <v>0</v>
      </c>
      <c r="D146" s="720">
        <v>-5</v>
      </c>
      <c r="E146" s="720">
        <v>-5</v>
      </c>
      <c r="F146" s="718" t="s">
        <v>2227</v>
      </c>
      <c r="G146" s="718" t="s">
        <v>354</v>
      </c>
      <c r="H146" s="673" t="s">
        <v>2971</v>
      </c>
      <c r="I146" s="672"/>
      <c r="J146" s="672"/>
      <c r="K146" s="672"/>
      <c r="L146" s="149" t="str">
        <f t="shared" si="10"/>
        <v>300S</v>
      </c>
      <c r="M146" s="150" t="str">
        <f t="shared" si="11"/>
        <v>RESERVE FRAIS SQ</v>
      </c>
      <c r="N146" s="151">
        <f>+IF(OR($Q146=Parametres!$G$2,$Q146=Parametres!$G$3),I146,C146)</f>
        <v>0</v>
      </c>
      <c r="O146" s="151">
        <f>+IF(OR($Q146=Parametres!$G$2,$Q146=Parametres!$G$3),J146,D146)</f>
        <v>-5</v>
      </c>
      <c r="P146" s="151">
        <f>+IF(OR($Q146=Parametres!$G$2,$Q146=Parametres!$G$3),K146,E146)</f>
        <v>-5</v>
      </c>
      <c r="Q146" s="150" t="str">
        <f t="shared" si="12"/>
        <v>3-Passifs</v>
      </c>
      <c r="R146" s="149" t="str">
        <f t="shared" si="13"/>
        <v>300</v>
      </c>
      <c r="S146" s="150" t="str">
        <f t="shared" si="14"/>
        <v>_</v>
      </c>
      <c r="T146" s="152" t="str">
        <f>+VLOOKUP($L146,Data_Validation!$A:$D,1,0)</f>
        <v>300S</v>
      </c>
      <c r="U146" s="152" t="str">
        <f>+VLOOKUP($L146,Data_Validation!$A:$D,3,0)</f>
        <v>Bilan</v>
      </c>
      <c r="V146" s="152" t="str">
        <f>+VLOOKUP($L146,Data_Validation!$A:$D,4,0)</f>
        <v>Autres Courus</v>
      </c>
      <c r="W146" s="152">
        <f>+VLOOKUP($L146,Data_Validation!$A:$E,5,0)</f>
        <v>0</v>
      </c>
      <c r="X146" s="152">
        <f>+VLOOKUP($L146,Data_Validation!$A:$F,6,0)</f>
        <v>0</v>
      </c>
    </row>
    <row r="147" spans="1:24" ht="15" customHeight="1">
      <c r="A147" s="718" t="s">
        <v>391</v>
      </c>
      <c r="B147" s="718" t="s">
        <v>377</v>
      </c>
      <c r="C147" s="720">
        <v>-112353.99</v>
      </c>
      <c r="D147" s="720">
        <v>12500</v>
      </c>
      <c r="E147" s="720">
        <v>-99853.99</v>
      </c>
      <c r="F147" s="718" t="s">
        <v>2227</v>
      </c>
      <c r="G147" s="718" t="s">
        <v>377</v>
      </c>
      <c r="H147" s="673" t="s">
        <v>2971</v>
      </c>
      <c r="I147" s="672"/>
      <c r="J147" s="672"/>
      <c r="K147" s="672"/>
      <c r="L147" s="149" t="str">
        <f t="shared" si="10"/>
        <v>303</v>
      </c>
      <c r="M147" s="150" t="str">
        <f t="shared" si="11"/>
        <v>DEPOTS DE CLIENTS</v>
      </c>
      <c r="N147" s="151">
        <f>+IF(OR($Q147=Parametres!$G$2,$Q147=Parametres!$G$3),I147,C147)</f>
        <v>-112353.99</v>
      </c>
      <c r="O147" s="504">
        <f>+IF(OR($Q147=Parametres!$G$2,$Q147=Parametres!$G$3),J147,D147)</f>
        <v>12500</v>
      </c>
      <c r="P147" s="151">
        <f>+IF(OR($Q147=Parametres!$G$2,$Q147=Parametres!$G$3),K147,E147)</f>
        <v>-99853.99</v>
      </c>
      <c r="Q147" s="150" t="str">
        <f t="shared" si="12"/>
        <v>3-Passifs</v>
      </c>
      <c r="R147" s="149" t="str">
        <f t="shared" si="13"/>
        <v>303</v>
      </c>
      <c r="S147" s="150" t="str">
        <f t="shared" si="14"/>
        <v>_</v>
      </c>
      <c r="T147" s="152" t="str">
        <f>+VLOOKUP($L147,Data_Validation!$A:$D,1,0)</f>
        <v>303</v>
      </c>
      <c r="U147" s="152" t="str">
        <f>+VLOOKUP($L147,Data_Validation!$A:$D,3,0)</f>
        <v>Bilan</v>
      </c>
      <c r="V147" s="152" t="str">
        <f>+VLOOKUP($L147,Data_Validation!$A:$D,4,0)</f>
        <v>Dépôts de Client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1851</v>
      </c>
      <c r="B148" s="718" t="s">
        <v>363</v>
      </c>
      <c r="C148" s="720">
        <v>-7461077.8899999997</v>
      </c>
      <c r="D148" s="720">
        <v>-1026964.8</v>
      </c>
      <c r="E148" s="720">
        <v>-8488042.6899999995</v>
      </c>
      <c r="F148" s="718" t="s">
        <v>2227</v>
      </c>
      <c r="G148" s="718" t="s">
        <v>363</v>
      </c>
      <c r="H148" s="673" t="s">
        <v>2971</v>
      </c>
      <c r="I148" s="673"/>
      <c r="J148" s="673"/>
      <c r="K148" s="673"/>
      <c r="L148" s="149" t="str">
        <f t="shared" si="10"/>
        <v>310</v>
      </c>
      <c r="M148" s="150" t="str">
        <f t="shared" si="11"/>
        <v>FINANCEMENT VEHICULES NEUFS</v>
      </c>
      <c r="N148" s="151">
        <f>+IF(OR($Q148=Parametres!$G$2,$Q148=Parametres!$G$3),I148,C148)</f>
        <v>-7461077.8899999997</v>
      </c>
      <c r="O148" s="504">
        <f>+IF(OR($Q148=Parametres!$G$2,$Q148=Parametres!$G$3),J148,D148)</f>
        <v>-1026964.8</v>
      </c>
      <c r="P148" s="151">
        <f>+IF(OR($Q148=Parametres!$G$2,$Q148=Parametres!$G$3),K148,E148)</f>
        <v>-8488042.6899999995</v>
      </c>
      <c r="Q148" s="150" t="str">
        <f t="shared" si="12"/>
        <v>3-Passifs</v>
      </c>
      <c r="R148" s="149" t="str">
        <f t="shared" si="13"/>
        <v>310</v>
      </c>
      <c r="S148" s="150" t="str">
        <f t="shared" si="14"/>
        <v>_</v>
      </c>
      <c r="T148" s="152" t="str">
        <f>+VLOOKUP($L148,Data_Validation!$A:$D,1,0)</f>
        <v>310</v>
      </c>
      <c r="U148" s="152" t="str">
        <f>+VLOOKUP($L148,Data_Validation!$A:$D,3,0)</f>
        <v>Bilan</v>
      </c>
      <c r="V148" s="152" t="str">
        <f>+VLOOKUP($L148,Data_Validation!$A:$D,4,0)</f>
        <v>Effet à Payer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1849</v>
      </c>
      <c r="B149" s="718" t="s">
        <v>355</v>
      </c>
      <c r="C149" s="720">
        <v>-1173126.83</v>
      </c>
      <c r="D149" s="720">
        <v>235880.78</v>
      </c>
      <c r="E149" s="720">
        <v>-937246.05</v>
      </c>
      <c r="F149" s="718" t="s">
        <v>2227</v>
      </c>
      <c r="G149" s="718" t="s">
        <v>355</v>
      </c>
      <c r="H149" s="673" t="s">
        <v>2971</v>
      </c>
      <c r="I149" s="673"/>
      <c r="J149" s="673"/>
      <c r="K149" s="673"/>
      <c r="L149" s="149" t="str">
        <f t="shared" si="10"/>
        <v>311</v>
      </c>
      <c r="M149" s="150" t="str">
        <f t="shared" si="11"/>
        <v>FINANCEMENT VEHICULES USAGES</v>
      </c>
      <c r="N149" s="151">
        <f>+IF(OR($Q149=Parametres!$G$2,$Q149=Parametres!$G$3),I149,C149)</f>
        <v>-1173126.83</v>
      </c>
      <c r="O149" s="151">
        <f>+IF(OR($Q149=Parametres!$G$2,$Q149=Parametres!$G$3),J149,D149)</f>
        <v>235880.78</v>
      </c>
      <c r="P149" s="151">
        <f>+IF(OR($Q149=Parametres!$G$2,$Q149=Parametres!$G$3),K149,E149)</f>
        <v>-937246.05</v>
      </c>
      <c r="Q149" s="150" t="str">
        <f t="shared" si="12"/>
        <v>3-Passifs</v>
      </c>
      <c r="R149" s="149" t="str">
        <f t="shared" si="13"/>
        <v>311</v>
      </c>
      <c r="S149" s="150" t="str">
        <f t="shared" si="14"/>
        <v>_</v>
      </c>
      <c r="T149" s="152" t="str">
        <f>+VLOOKUP($L149,Data_Validation!$A:$D,1,0)</f>
        <v>311</v>
      </c>
      <c r="U149" s="152" t="str">
        <f>+VLOOKUP($L149,Data_Validation!$A:$D,3,0)</f>
        <v>Bilan</v>
      </c>
      <c r="V149" s="152" t="str">
        <f>+VLOOKUP($L149,Data_Validation!$A:$D,4,0)</f>
        <v>Effet à Payer Véhicules Usagés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1102</v>
      </c>
      <c r="B150" s="718" t="s">
        <v>1103</v>
      </c>
      <c r="C150" s="720">
        <v>0</v>
      </c>
      <c r="D150" s="720">
        <v>-13192.59</v>
      </c>
      <c r="E150" s="720">
        <v>-13192.59</v>
      </c>
      <c r="F150" s="718" t="s">
        <v>2227</v>
      </c>
      <c r="G150" s="718" t="s">
        <v>1103</v>
      </c>
      <c r="H150" s="673" t="s">
        <v>2971</v>
      </c>
      <c r="I150" s="672"/>
      <c r="J150" s="672"/>
      <c r="K150" s="672"/>
      <c r="L150" s="149" t="str">
        <f t="shared" si="10"/>
        <v>314L</v>
      </c>
      <c r="M150" s="150" t="str">
        <f t="shared" si="11"/>
        <v>LIEN A PAYER</v>
      </c>
      <c r="N150" s="151">
        <f>+IF(OR($Q150=Parametres!$G$2,$Q150=Parametres!$G$3),I150,C150)</f>
        <v>0</v>
      </c>
      <c r="O150" s="151">
        <f>+IF(OR($Q150=Parametres!$G$2,$Q150=Parametres!$G$3),J150,D150)</f>
        <v>-13192.59</v>
      </c>
      <c r="P150" s="151">
        <f>+IF(OR($Q150=Parametres!$G$2,$Q150=Parametres!$G$3),K150,E150)</f>
        <v>-13192.59</v>
      </c>
      <c r="Q150" s="150" t="str">
        <f t="shared" si="12"/>
        <v>3-Passifs</v>
      </c>
      <c r="R150" s="149" t="str">
        <f t="shared" si="13"/>
        <v>314L</v>
      </c>
      <c r="S150" s="150" t="str">
        <f t="shared" si="14"/>
        <v>_</v>
      </c>
      <c r="T150" s="152" t="str">
        <f>+VLOOKUP($L150,Data_Validation!$A:$D,1,0)</f>
        <v>314L</v>
      </c>
      <c r="U150" s="152" t="str">
        <f>+VLOOKUP($L150,Data_Validation!$A:$D,3,0)</f>
        <v>Bilan</v>
      </c>
      <c r="V150" s="152" t="str">
        <f>+VLOOKUP($L150,Data_Validation!$A:$D,4,0)</f>
        <v>Autres Comptes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361</v>
      </c>
      <c r="B151" s="718" t="s">
        <v>424</v>
      </c>
      <c r="C151" s="719">
        <v>-8935.33</v>
      </c>
      <c r="D151" s="719">
        <v>-17263.349999999999</v>
      </c>
      <c r="E151" s="719">
        <v>-26198.68</v>
      </c>
      <c r="F151" s="718" t="s">
        <v>2227</v>
      </c>
      <c r="G151" s="718" t="s">
        <v>424</v>
      </c>
      <c r="H151" s="719" t="s">
        <v>2971</v>
      </c>
      <c r="I151" s="720"/>
      <c r="J151" s="720"/>
      <c r="K151" s="720"/>
      <c r="L151" s="149" t="str">
        <f t="shared" si="10"/>
        <v>321</v>
      </c>
      <c r="M151" s="150" t="str">
        <f t="shared" si="11"/>
        <v>SALAIRES A PAYER</v>
      </c>
      <c r="N151" s="151">
        <f>+IF(OR($Q151=Parametres!$G$2,$Q151=Parametres!$G$3),I151,C151)</f>
        <v>-8935.33</v>
      </c>
      <c r="O151" s="504">
        <f>+IF(OR($Q151=Parametres!$G$2,$Q151=Parametres!$G$3),J151,D151)</f>
        <v>-17263.349999999999</v>
      </c>
      <c r="P151" s="151">
        <f>+IF(OR($Q151=Parametres!$G$2,$Q151=Parametres!$G$3),K151,E151)</f>
        <v>-26198.68</v>
      </c>
      <c r="Q151" s="150" t="str">
        <f t="shared" si="12"/>
        <v>3-Passifs</v>
      </c>
      <c r="R151" s="149" t="str">
        <f t="shared" si="13"/>
        <v>321</v>
      </c>
      <c r="S151" s="150" t="str">
        <f t="shared" si="14"/>
        <v>_</v>
      </c>
      <c r="T151" s="152" t="str">
        <f>+VLOOKUP($L151,Data_Validation!$A:$D,1,0)</f>
        <v>321</v>
      </c>
      <c r="U151" s="152" t="str">
        <f>+VLOOKUP($L151,Data_Validation!$A:$D,3,0)</f>
        <v>Bilan</v>
      </c>
      <c r="V151" s="152" t="str">
        <f>+VLOOKUP($L151,Data_Validation!$A:$D,4,0)</f>
        <v>Salaires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1108</v>
      </c>
      <c r="B152" s="718" t="s">
        <v>443</v>
      </c>
      <c r="C152" s="720">
        <v>-166761.15</v>
      </c>
      <c r="D152" s="720">
        <v>-11476.28</v>
      </c>
      <c r="E152" s="720">
        <v>-178237.43</v>
      </c>
      <c r="F152" s="718" t="s">
        <v>2227</v>
      </c>
      <c r="G152" s="718" t="s">
        <v>443</v>
      </c>
      <c r="H152" s="673" t="s">
        <v>2971</v>
      </c>
      <c r="I152" s="672"/>
      <c r="J152" s="672"/>
      <c r="K152" s="672"/>
      <c r="L152" s="149" t="str">
        <f t="shared" si="10"/>
        <v>321A</v>
      </c>
      <c r="M152" s="150" t="str">
        <f t="shared" si="11"/>
        <v>VACANCES PAYEES</v>
      </c>
      <c r="N152" s="151">
        <f>+IF(OR($Q152=Parametres!$G$2,$Q152=Parametres!$G$3),I152,C152)</f>
        <v>-166761.15</v>
      </c>
      <c r="O152" s="151">
        <f>+IF(OR($Q152=Parametres!$G$2,$Q152=Parametres!$G$3),J152,D152)</f>
        <v>-11476.28</v>
      </c>
      <c r="P152" s="151">
        <f>+IF(OR($Q152=Parametres!$G$2,$Q152=Parametres!$G$3),K152,E152)</f>
        <v>-178237.43</v>
      </c>
      <c r="Q152" s="150" t="str">
        <f t="shared" si="12"/>
        <v>3-Passifs</v>
      </c>
      <c r="R152" s="149" t="str">
        <f t="shared" si="13"/>
        <v>321A</v>
      </c>
      <c r="S152" s="150" t="str">
        <f t="shared" si="14"/>
        <v>_</v>
      </c>
      <c r="T152" s="152" t="str">
        <f>+VLOOKUP($L152,Data_Validation!$A:$D,1,0)</f>
        <v>321A</v>
      </c>
      <c r="U152" s="152" t="str">
        <f>+VLOOKUP($L152,Data_Validation!$A:$D,3,0)</f>
        <v>Bilan</v>
      </c>
      <c r="V152" s="152" t="str">
        <f>+VLOOKUP($L152,Data_Validation!$A:$D,4,0)</f>
        <v>Salaires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360</v>
      </c>
      <c r="B153" s="718" t="s">
        <v>919</v>
      </c>
      <c r="C153" s="720">
        <v>-14548.35</v>
      </c>
      <c r="D153" s="720">
        <v>-22623.62</v>
      </c>
      <c r="E153" s="720">
        <v>-37171.97</v>
      </c>
      <c r="F153" s="718" t="s">
        <v>2227</v>
      </c>
      <c r="G153" s="718" t="s">
        <v>443</v>
      </c>
      <c r="H153" s="673" t="s">
        <v>2971</v>
      </c>
      <c r="I153" s="672"/>
      <c r="J153" s="672"/>
      <c r="K153" s="672"/>
      <c r="L153" s="149" t="str">
        <f t="shared" si="10"/>
        <v>321B</v>
      </c>
      <c r="M153" s="150" t="str">
        <f t="shared" si="11"/>
        <v>COMMISSIONS A PAYER</v>
      </c>
      <c r="N153" s="151">
        <f>+IF(OR($Q153=Parametres!$G$2,$Q153=Parametres!$G$3),I153,C153)</f>
        <v>-14548.35</v>
      </c>
      <c r="O153" s="151">
        <f>+IF(OR($Q153=Parametres!$G$2,$Q153=Parametres!$G$3),J153,D153)</f>
        <v>-22623.62</v>
      </c>
      <c r="P153" s="151">
        <f>+IF(OR($Q153=Parametres!$G$2,$Q153=Parametres!$G$3),K153,E153)</f>
        <v>-37171.97</v>
      </c>
      <c r="Q153" s="150" t="str">
        <f t="shared" si="12"/>
        <v>3-Passifs</v>
      </c>
      <c r="R153" s="149" t="str">
        <f t="shared" si="13"/>
        <v>321A</v>
      </c>
      <c r="S153" s="150" t="str">
        <f t="shared" si="14"/>
        <v>_</v>
      </c>
      <c r="T153" s="152" t="str">
        <f>+VLOOKUP($L153,Data_Validation!$A:$D,1,0)</f>
        <v>321B</v>
      </c>
      <c r="U153" s="152" t="str">
        <f>+VLOOKUP($L153,Data_Validation!$A:$D,3,0)</f>
        <v>Bilan</v>
      </c>
      <c r="V153" s="152" t="str">
        <f>+VLOOKUP($L153,Data_Validation!$A:$D,4,0)</f>
        <v>Salaires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455</v>
      </c>
      <c r="B154" s="718" t="s">
        <v>456</v>
      </c>
      <c r="C154" s="720">
        <v>-21035.79</v>
      </c>
      <c r="D154" s="720">
        <v>0</v>
      </c>
      <c r="E154" s="720">
        <v>-21035.79</v>
      </c>
      <c r="F154" s="718" t="s">
        <v>2227</v>
      </c>
      <c r="G154" s="718" t="s">
        <v>456</v>
      </c>
      <c r="H154" s="673" t="s">
        <v>2971</v>
      </c>
      <c r="I154" s="672"/>
      <c r="J154" s="672"/>
      <c r="K154" s="672"/>
      <c r="L154" s="149" t="str">
        <f t="shared" si="10"/>
        <v>321C</v>
      </c>
      <c r="M154" s="150" t="str">
        <f t="shared" si="11"/>
        <v>CONGES FERIES A PAYER</v>
      </c>
      <c r="N154" s="151">
        <f>+IF(OR($Q154=Parametres!$G$2,$Q154=Parametres!$G$3),I154,C154)</f>
        <v>-21035.79</v>
      </c>
      <c r="O154" s="151">
        <f>+IF(OR($Q154=Parametres!$G$2,$Q154=Parametres!$G$3),J154,D154)</f>
        <v>0</v>
      </c>
      <c r="P154" s="151">
        <f>+IF(OR($Q154=Parametres!$G$2,$Q154=Parametres!$G$3),K154,E154)</f>
        <v>-21035.79</v>
      </c>
      <c r="Q154" s="150" t="str">
        <f t="shared" si="12"/>
        <v>3-Passifs</v>
      </c>
      <c r="R154" s="149" t="str">
        <f t="shared" si="13"/>
        <v>321C</v>
      </c>
      <c r="S154" s="150" t="str">
        <f t="shared" si="14"/>
        <v>_</v>
      </c>
      <c r="T154" s="152" t="str">
        <f>+VLOOKUP($L154,Data_Validation!$A:$D,1,0)</f>
        <v>321C</v>
      </c>
      <c r="U154" s="152" t="str">
        <f>+VLOOKUP($L154,Data_Validation!$A:$D,3,0)</f>
        <v>Bilan</v>
      </c>
      <c r="V154" s="152" t="str">
        <f>+VLOOKUP($L154,Data_Validation!$A:$D,4,0)</f>
        <v>Salaires à Payer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2142</v>
      </c>
      <c r="B155" s="718" t="s">
        <v>2143</v>
      </c>
      <c r="C155" s="720">
        <v>-5365.29</v>
      </c>
      <c r="D155" s="720">
        <v>5059.7</v>
      </c>
      <c r="E155" s="720">
        <v>-305.58999999999997</v>
      </c>
      <c r="F155" s="718" t="s">
        <v>2227</v>
      </c>
      <c r="G155" s="718" t="s">
        <v>424</v>
      </c>
      <c r="H155" s="673" t="s">
        <v>2971</v>
      </c>
      <c r="I155" s="672"/>
      <c r="J155" s="672"/>
      <c r="K155" s="672"/>
      <c r="L155" s="149" t="str">
        <f t="shared" si="10"/>
        <v>321D</v>
      </c>
      <c r="M155" s="150" t="str">
        <f t="shared" si="11"/>
        <v>COMPTE DE DEPENSE A PAYER</v>
      </c>
      <c r="N155" s="151">
        <f>+IF(OR($Q155=Parametres!$G$2,$Q155=Parametres!$G$3),I155,C155)</f>
        <v>-5365.29</v>
      </c>
      <c r="O155" s="151">
        <f>+IF(OR($Q155=Parametres!$G$2,$Q155=Parametres!$G$3),J155,D155)</f>
        <v>5059.7</v>
      </c>
      <c r="P155" s="151">
        <f>+IF(OR($Q155=Parametres!$G$2,$Q155=Parametres!$G$3),K155,E155)</f>
        <v>-305.58999999999997</v>
      </c>
      <c r="Q155" s="150" t="str">
        <f t="shared" si="12"/>
        <v>3-Passifs</v>
      </c>
      <c r="R155" s="149" t="str">
        <f t="shared" si="13"/>
        <v>321</v>
      </c>
      <c r="S155" s="150" t="str">
        <f t="shared" si="14"/>
        <v>_</v>
      </c>
      <c r="T155" s="152" t="str">
        <f>+VLOOKUP($L155,Data_Validation!$A:$D,1,0)</f>
        <v>321D</v>
      </c>
      <c r="U155" s="152" t="str">
        <f>+VLOOKUP($L155,Data_Validation!$A:$D,3,0)</f>
        <v>bilan</v>
      </c>
      <c r="V155" s="152" t="str">
        <f>+VLOOKUP($L155,Data_Validation!$A:$D,4,0)</f>
        <v>Autres Comptes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2431</v>
      </c>
      <c r="B156" s="718" t="s">
        <v>811</v>
      </c>
      <c r="C156" s="719">
        <v>11608.01</v>
      </c>
      <c r="D156" s="719">
        <v>0</v>
      </c>
      <c r="E156" s="719">
        <v>11608.01</v>
      </c>
      <c r="F156" s="718" t="s">
        <v>2227</v>
      </c>
      <c r="G156" s="718" t="s">
        <v>811</v>
      </c>
      <c r="H156" s="719" t="s">
        <v>2971</v>
      </c>
      <c r="I156" s="720"/>
      <c r="J156" s="720"/>
      <c r="K156" s="720"/>
      <c r="L156" s="149" t="str">
        <f t="shared" si="10"/>
        <v>322</v>
      </c>
      <c r="M156" s="150" t="str">
        <f t="shared" si="11"/>
        <v>RESERVE CSST</v>
      </c>
      <c r="N156" s="151">
        <f>+IF(OR($Q156=Parametres!$G$2,$Q156=Parametres!$G$3),I156,C156)</f>
        <v>11608.01</v>
      </c>
      <c r="O156" s="504">
        <f>+IF(OR($Q156=Parametres!$G$2,$Q156=Parametres!$G$3),J156,D156)</f>
        <v>0</v>
      </c>
      <c r="P156" s="151">
        <f>+IF(OR($Q156=Parametres!$G$2,$Q156=Parametres!$G$3),K156,E156)</f>
        <v>11608.01</v>
      </c>
      <c r="Q156" s="150" t="str">
        <f t="shared" si="12"/>
        <v>3-Passifs</v>
      </c>
      <c r="R156" s="149" t="str">
        <f t="shared" si="13"/>
        <v>322</v>
      </c>
      <c r="S156" s="150" t="str">
        <f t="shared" si="14"/>
        <v>_</v>
      </c>
      <c r="T156" s="152" t="str">
        <f>+VLOOKUP($L156,Data_Validation!$A:$D,1,0)</f>
        <v>322</v>
      </c>
      <c r="U156" s="152" t="str">
        <f>+VLOOKUP($L156,Data_Validation!$A:$D,3,0)</f>
        <v>Bilan</v>
      </c>
      <c r="V156" s="152" t="str">
        <f>+VLOOKUP($L156,Data_Validation!$A:$D,4,0)</f>
        <v>DAS à Payer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1792</v>
      </c>
      <c r="B157" s="718" t="s">
        <v>466</v>
      </c>
      <c r="C157" s="719">
        <v>-1245</v>
      </c>
      <c r="D157" s="719">
        <v>-410</v>
      </c>
      <c r="E157" s="719">
        <v>-1655</v>
      </c>
      <c r="F157" s="718" t="s">
        <v>2227</v>
      </c>
      <c r="G157" s="718" t="s">
        <v>2251</v>
      </c>
      <c r="H157" s="719" t="s">
        <v>2971</v>
      </c>
      <c r="I157" s="720"/>
      <c r="J157" s="720"/>
      <c r="K157" s="720"/>
      <c r="L157" s="149" t="str">
        <f t="shared" si="10"/>
        <v>323H</v>
      </c>
      <c r="M157" s="150" t="str">
        <f t="shared" si="11"/>
        <v>CLUB SOCIAL</v>
      </c>
      <c r="N157" s="151">
        <f>+IF(OR($Q157=Parametres!$G$2,$Q157=Parametres!$G$3),I157,C157)</f>
        <v>-1245</v>
      </c>
      <c r="O157" s="504">
        <f>+IF(OR($Q157=Parametres!$G$2,$Q157=Parametres!$G$3),J157,D157)</f>
        <v>-410</v>
      </c>
      <c r="P157" s="151">
        <f>+IF(OR($Q157=Parametres!$G$2,$Q157=Parametres!$G$3),K157,E157)</f>
        <v>-1655</v>
      </c>
      <c r="Q157" s="150" t="str">
        <f t="shared" si="12"/>
        <v>3-Passifs</v>
      </c>
      <c r="R157" s="149" t="str">
        <f t="shared" si="13"/>
        <v>323</v>
      </c>
      <c r="S157" s="150" t="str">
        <f t="shared" si="14"/>
        <v>_</v>
      </c>
      <c r="T157" s="152" t="str">
        <f>+VLOOKUP($L157,Data_Validation!$A:$D,1,0)</f>
        <v>323H</v>
      </c>
      <c r="U157" s="152" t="str">
        <f>+VLOOKUP($L157,Data_Validation!$A:$D,3,0)</f>
        <v>Bilan</v>
      </c>
      <c r="V157" s="152" t="str">
        <f>+VLOOKUP($L157,Data_Validation!$A:$D,4,0)</f>
        <v>DAS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1059</v>
      </c>
      <c r="B158" s="718" t="s">
        <v>1023</v>
      </c>
      <c r="C158" s="720">
        <v>-523.36</v>
      </c>
      <c r="D158" s="720">
        <v>-147.94</v>
      </c>
      <c r="E158" s="720">
        <v>-671.3</v>
      </c>
      <c r="F158" s="718" t="s">
        <v>2227</v>
      </c>
      <c r="G158" s="718" t="s">
        <v>2251</v>
      </c>
      <c r="H158" s="666" t="s">
        <v>2971</v>
      </c>
      <c r="I158" s="665"/>
      <c r="J158" s="665"/>
      <c r="K158" s="665"/>
      <c r="L158" s="149" t="str">
        <f t="shared" si="10"/>
        <v>323I</v>
      </c>
      <c r="M158" s="150" t="str">
        <f t="shared" si="11"/>
        <v>COMITE PARITAIRE A PAYER</v>
      </c>
      <c r="N158" s="151">
        <f>+IF(OR($Q158=Parametres!$G$2,$Q158=Parametres!$G$3),I158,C158)</f>
        <v>-523.36</v>
      </c>
      <c r="O158" s="151">
        <f>+IF(OR($Q158=Parametres!$G$2,$Q158=Parametres!$G$3),J158,D158)</f>
        <v>-147.94</v>
      </c>
      <c r="P158" s="151">
        <f>+IF(OR($Q158=Parametres!$G$2,$Q158=Parametres!$G$3),K158,E158)</f>
        <v>-671.3</v>
      </c>
      <c r="Q158" s="150" t="str">
        <f t="shared" si="12"/>
        <v>3-Passifs</v>
      </c>
      <c r="R158" s="149" t="str">
        <f t="shared" si="13"/>
        <v>323</v>
      </c>
      <c r="S158" s="150" t="str">
        <f t="shared" si="14"/>
        <v>_</v>
      </c>
      <c r="T158" s="152" t="str">
        <f>+VLOOKUP($L158,Data_Validation!$A:$D,1,0)</f>
        <v>323I</v>
      </c>
      <c r="U158" s="152" t="str">
        <f>+VLOOKUP($L158,Data_Validation!$A:$D,3,0)</f>
        <v>Bilan</v>
      </c>
      <c r="V158" s="152" t="str">
        <f>+VLOOKUP($L158,Data_Validation!$A:$D,4,0)</f>
        <v>DAS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1157</v>
      </c>
      <c r="B159" s="718" t="s">
        <v>1060</v>
      </c>
      <c r="C159" s="720">
        <v>-1176.24</v>
      </c>
      <c r="D159" s="720">
        <v>458.35</v>
      </c>
      <c r="E159" s="720">
        <v>-717.89</v>
      </c>
      <c r="F159" s="718" t="s">
        <v>2227</v>
      </c>
      <c r="G159" s="718" t="s">
        <v>2251</v>
      </c>
      <c r="H159" s="673" t="s">
        <v>2971</v>
      </c>
      <c r="I159" s="672"/>
      <c r="J159" s="672"/>
      <c r="K159" s="672"/>
      <c r="L159" s="149" t="str">
        <f t="shared" si="10"/>
        <v>323J</v>
      </c>
      <c r="M159" s="150" t="str">
        <f t="shared" si="11"/>
        <v>ASSURANCE COLLECTIVE A PAYER</v>
      </c>
      <c r="N159" s="151">
        <f>+IF(OR($Q159=Parametres!$G$2,$Q159=Parametres!$G$3),I159,C159)</f>
        <v>-1176.24</v>
      </c>
      <c r="O159" s="151">
        <f>+IF(OR($Q159=Parametres!$G$2,$Q159=Parametres!$G$3),J159,D159)</f>
        <v>458.35</v>
      </c>
      <c r="P159" s="151">
        <f>+IF(OR($Q159=Parametres!$G$2,$Q159=Parametres!$G$3),K159,E159)</f>
        <v>-717.89</v>
      </c>
      <c r="Q159" s="150" t="str">
        <f t="shared" si="12"/>
        <v>3-Passifs</v>
      </c>
      <c r="R159" s="149" t="str">
        <f t="shared" si="13"/>
        <v>323</v>
      </c>
      <c r="S159" s="150" t="str">
        <f t="shared" si="14"/>
        <v>_</v>
      </c>
      <c r="T159" s="152" t="str">
        <f>+VLOOKUP($L159,Data_Validation!$A:$D,1,0)</f>
        <v>323J</v>
      </c>
      <c r="U159" s="152" t="str">
        <f>+VLOOKUP($L159,Data_Validation!$A:$D,3,0)</f>
        <v>Bilan</v>
      </c>
      <c r="V159" s="152" t="str">
        <f>+VLOOKUP($L159,Data_Validation!$A:$D,4,0)</f>
        <v>DAS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1216</v>
      </c>
      <c r="B160" s="718" t="s">
        <v>1217</v>
      </c>
      <c r="C160" s="720">
        <v>-2097.59</v>
      </c>
      <c r="D160" s="720">
        <v>1541.77</v>
      </c>
      <c r="E160" s="720">
        <v>-555.82000000000005</v>
      </c>
      <c r="F160" s="718" t="s">
        <v>2227</v>
      </c>
      <c r="G160" s="718" t="s">
        <v>2251</v>
      </c>
      <c r="H160" s="673" t="s">
        <v>2971</v>
      </c>
      <c r="I160" s="672"/>
      <c r="J160" s="672"/>
      <c r="K160" s="672"/>
      <c r="L160" s="149" t="str">
        <f t="shared" si="10"/>
        <v>323K</v>
      </c>
      <c r="M160" s="150" t="str">
        <f t="shared" si="11"/>
        <v>CENTRADE</v>
      </c>
      <c r="N160" s="151">
        <f>+IF(OR($Q160=Parametres!$G$2,$Q160=Parametres!$G$3),I160,C160)</f>
        <v>-2097.59</v>
      </c>
      <c r="O160" s="151">
        <f>+IF(OR($Q160=Parametres!$G$2,$Q160=Parametres!$G$3),J160,D160)</f>
        <v>1541.77</v>
      </c>
      <c r="P160" s="151">
        <f>+IF(OR($Q160=Parametres!$G$2,$Q160=Parametres!$G$3),K160,E160)</f>
        <v>-555.82000000000005</v>
      </c>
      <c r="Q160" s="150" t="str">
        <f t="shared" si="12"/>
        <v>3-Passifs</v>
      </c>
      <c r="R160" s="149" t="str">
        <f t="shared" si="13"/>
        <v>323</v>
      </c>
      <c r="S160" s="150" t="str">
        <f t="shared" si="14"/>
        <v>_</v>
      </c>
      <c r="T160" s="152" t="str">
        <f>+VLOOKUP($L160,Data_Validation!$A:$D,1,0)</f>
        <v>323K</v>
      </c>
      <c r="U160" s="152" t="str">
        <f>+VLOOKUP($L160,Data_Validation!$A:$D,3,0)</f>
        <v>Bilan</v>
      </c>
      <c r="V160" s="152" t="str">
        <f>+VLOOKUP($L160,Data_Validation!$A:$D,4,0)</f>
        <v>DAS à Payer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1210</v>
      </c>
      <c r="B161" s="718" t="s">
        <v>1211</v>
      </c>
      <c r="C161" s="719">
        <v>-12533.28</v>
      </c>
      <c r="D161" s="719">
        <v>-3695.02</v>
      </c>
      <c r="E161" s="719">
        <v>-16228.3</v>
      </c>
      <c r="F161" s="718" t="s">
        <v>2227</v>
      </c>
      <c r="G161" s="718" t="s">
        <v>2251</v>
      </c>
      <c r="H161" s="719" t="s">
        <v>2971</v>
      </c>
      <c r="I161" s="720"/>
      <c r="J161" s="720"/>
      <c r="K161" s="720"/>
      <c r="L161" s="149" t="str">
        <f t="shared" si="10"/>
        <v>323R</v>
      </c>
      <c r="M161" s="150" t="str">
        <f t="shared" si="11"/>
        <v>REER A PAYER</v>
      </c>
      <c r="N161" s="151">
        <f>+IF(OR($Q161=Parametres!$G$2,$Q161=Parametres!$G$3),I161,C161)</f>
        <v>-12533.28</v>
      </c>
      <c r="O161" s="151">
        <f>+IF(OR($Q161=Parametres!$G$2,$Q161=Parametres!$G$3),J161,D161)</f>
        <v>-3695.02</v>
      </c>
      <c r="P161" s="151">
        <f>+IF(OR($Q161=Parametres!$G$2,$Q161=Parametres!$G$3),K161,E161)</f>
        <v>-16228.3</v>
      </c>
      <c r="Q161" s="150" t="str">
        <f t="shared" si="12"/>
        <v>3-Passifs</v>
      </c>
      <c r="R161" s="149" t="str">
        <f t="shared" si="13"/>
        <v>323</v>
      </c>
      <c r="S161" s="150" t="str">
        <f t="shared" si="14"/>
        <v>_</v>
      </c>
      <c r="T161" s="152" t="str">
        <f>+VLOOKUP($L161,Data_Validation!$A:$D,1,0)</f>
        <v>323R</v>
      </c>
      <c r="U161" s="152" t="str">
        <f>+VLOOKUP($L161,Data_Validation!$A:$D,3,0)</f>
        <v>Bilan</v>
      </c>
      <c r="V161" s="152" t="str">
        <f>+VLOOKUP($L161,Data_Validation!$A:$D,4,0)</f>
        <v>DAS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1845</v>
      </c>
      <c r="B162" s="718" t="s">
        <v>403</v>
      </c>
      <c r="C162" s="720">
        <v>-180868.91</v>
      </c>
      <c r="D162" s="720">
        <v>-53721.93</v>
      </c>
      <c r="E162" s="720">
        <v>-234590.84</v>
      </c>
      <c r="F162" s="718" t="s">
        <v>2227</v>
      </c>
      <c r="G162" s="718" t="s">
        <v>403</v>
      </c>
      <c r="H162" s="673" t="s">
        <v>2971</v>
      </c>
      <c r="I162" s="672"/>
      <c r="J162" s="672"/>
      <c r="K162" s="672"/>
      <c r="L162" s="149" t="str">
        <f t="shared" si="10"/>
        <v>324</v>
      </c>
      <c r="M162" s="150" t="str">
        <f t="shared" si="11"/>
        <v>TPS A PAYER</v>
      </c>
      <c r="N162" s="151">
        <f>+IF(OR($Q162=Parametres!$G$2,$Q162=Parametres!$G$3),I162,C162)</f>
        <v>-180868.91</v>
      </c>
      <c r="O162" s="151">
        <f>+IF(OR($Q162=Parametres!$G$2,$Q162=Parametres!$G$3),J162,D162)</f>
        <v>-53721.93</v>
      </c>
      <c r="P162" s="151">
        <f>+IF(OR($Q162=Parametres!$G$2,$Q162=Parametres!$G$3),K162,E162)</f>
        <v>-234590.84</v>
      </c>
      <c r="Q162" s="150" t="str">
        <f t="shared" si="12"/>
        <v>3-Passifs</v>
      </c>
      <c r="R162" s="149" t="str">
        <f t="shared" si="13"/>
        <v>324</v>
      </c>
      <c r="S162" s="150" t="str">
        <f t="shared" si="14"/>
        <v>_</v>
      </c>
      <c r="T162" s="152" t="str">
        <f>+VLOOKUP($L162,Data_Validation!$A:$D,1,0)</f>
        <v>324</v>
      </c>
      <c r="U162" s="152" t="str">
        <f>+VLOOKUP($L162,Data_Validation!$A:$D,3,0)</f>
        <v>Bilan</v>
      </c>
      <c r="V162" s="152" t="str">
        <f>+VLOOKUP($L162,Data_Validation!$A:$D,4,0)</f>
        <v>Taxes de Vente à Payer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1128</v>
      </c>
      <c r="B163" s="718" t="s">
        <v>966</v>
      </c>
      <c r="C163" s="719">
        <v>211487.48</v>
      </c>
      <c r="D163" s="719">
        <v>25990.02</v>
      </c>
      <c r="E163" s="719">
        <v>237477.5</v>
      </c>
      <c r="F163" s="718" t="s">
        <v>2227</v>
      </c>
      <c r="G163" s="718" t="s">
        <v>403</v>
      </c>
      <c r="H163" s="719" t="s">
        <v>2971</v>
      </c>
      <c r="I163" s="720"/>
      <c r="J163" s="720"/>
      <c r="K163" s="720"/>
      <c r="L163" s="149" t="str">
        <f t="shared" si="10"/>
        <v>324A</v>
      </c>
      <c r="M163" s="150" t="str">
        <f t="shared" si="11"/>
        <v>TPS A RECEVOIR</v>
      </c>
      <c r="N163" s="151">
        <f>+IF(OR($Q163=Parametres!$G$2,$Q163=Parametres!$G$3),I163,C163)</f>
        <v>211487.48</v>
      </c>
      <c r="O163" s="151">
        <f>+IF(OR($Q163=Parametres!$G$2,$Q163=Parametres!$G$3),J163,D163)</f>
        <v>25990.02</v>
      </c>
      <c r="P163" s="151">
        <f>+IF(OR($Q163=Parametres!$G$2,$Q163=Parametres!$G$3),K163,E163)</f>
        <v>237477.5</v>
      </c>
      <c r="Q163" s="150" t="str">
        <f t="shared" si="12"/>
        <v>3-Passifs</v>
      </c>
      <c r="R163" s="149" t="str">
        <f t="shared" si="13"/>
        <v>324</v>
      </c>
      <c r="S163" s="150" t="str">
        <f t="shared" si="14"/>
        <v>_</v>
      </c>
      <c r="T163" s="152" t="str">
        <f>+VLOOKUP($L163,Data_Validation!$A:$D,1,0)</f>
        <v>324A</v>
      </c>
      <c r="U163" s="152" t="str">
        <f>+VLOOKUP($L163,Data_Validation!$A:$D,3,0)</f>
        <v>Bilan</v>
      </c>
      <c r="V163" s="152" t="str">
        <f>+VLOOKUP($L163,Data_Validation!$A:$D,4,0)</f>
        <v>Taxes de Vente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2415</v>
      </c>
      <c r="B164" s="718" t="s">
        <v>2416</v>
      </c>
      <c r="C164" s="719">
        <v>-34234.99</v>
      </c>
      <c r="D164" s="719">
        <v>20158.48</v>
      </c>
      <c r="E164" s="719">
        <v>-14076.51</v>
      </c>
      <c r="F164" s="718" t="s">
        <v>2227</v>
      </c>
      <c r="G164" s="718" t="s">
        <v>403</v>
      </c>
      <c r="H164" s="719" t="s">
        <v>2971</v>
      </c>
      <c r="I164" s="720"/>
      <c r="J164" s="720"/>
      <c r="K164" s="720"/>
      <c r="L164" s="149" t="str">
        <f t="shared" si="10"/>
        <v>324E</v>
      </c>
      <c r="M164" s="150" t="str">
        <f t="shared" si="11"/>
        <v>TAXE DE LUXE</v>
      </c>
      <c r="N164" s="151">
        <f>+IF(OR($Q164=Parametres!$G$2,$Q164=Parametres!$G$3),I164,C164)</f>
        <v>-34234.99</v>
      </c>
      <c r="O164" s="505">
        <f>+IF(OR($Q164=Parametres!$G$2,$Q164=Parametres!$G$3),J164,D164)</f>
        <v>20158.48</v>
      </c>
      <c r="P164" s="151">
        <f>+IF(OR($Q164=Parametres!$G$2,$Q164=Parametres!$G$3),K164,E164)</f>
        <v>-14076.51</v>
      </c>
      <c r="Q164" s="150" t="str">
        <f t="shared" si="12"/>
        <v>3-Passifs</v>
      </c>
      <c r="R164" s="149" t="str">
        <f t="shared" si="13"/>
        <v>324</v>
      </c>
      <c r="S164" s="150" t="str">
        <f t="shared" si="14"/>
        <v>_</v>
      </c>
      <c r="T164" s="152" t="str">
        <f>+VLOOKUP($L164,Data_Validation!$A:$D,1,0)</f>
        <v>324E</v>
      </c>
      <c r="U164" s="152" t="str">
        <f>+VLOOKUP($L164,Data_Validation!$A:$D,3,0)</f>
        <v>Bilan</v>
      </c>
      <c r="V164" s="152" t="str">
        <f>+VLOOKUP($L164,Data_Validation!$A:$D,4,0)</f>
        <v>Taxes de Vente à Payer</v>
      </c>
      <c r="W164" s="152">
        <f>+VLOOKUP($L164,Data_Validation!$A:$E,5,0)</f>
        <v>0</v>
      </c>
      <c r="X164" s="152">
        <f>+VLOOKUP($L164,Data_Validation!$A:$F,6,0)</f>
        <v>0</v>
      </c>
    </row>
    <row r="165" spans="1:24" ht="15" customHeight="1">
      <c r="A165" s="718" t="s">
        <v>351</v>
      </c>
      <c r="B165" s="718" t="s">
        <v>1829</v>
      </c>
      <c r="C165" s="720">
        <v>-66341.759999999995</v>
      </c>
      <c r="D165" s="720">
        <v>-42971.76</v>
      </c>
      <c r="E165" s="720">
        <v>-109313.52</v>
      </c>
      <c r="F165" s="718" t="s">
        <v>2227</v>
      </c>
      <c r="G165" s="718" t="s">
        <v>403</v>
      </c>
      <c r="H165" s="673" t="s">
        <v>2971</v>
      </c>
      <c r="I165" s="673"/>
      <c r="J165" s="673"/>
      <c r="K165" s="673"/>
      <c r="L165" s="149" t="str">
        <f t="shared" si="10"/>
        <v>325</v>
      </c>
      <c r="M165" s="150" t="str">
        <f t="shared" si="11"/>
        <v>TVQ A PAYER</v>
      </c>
      <c r="N165" s="151">
        <f>+IF(OR($Q165=Parametres!$G$2,$Q165=Parametres!$G$3),I165,C165)</f>
        <v>-66341.759999999995</v>
      </c>
      <c r="O165" s="151">
        <f>+IF(OR($Q165=Parametres!$G$2,$Q165=Parametres!$G$3),J165,D165)</f>
        <v>-42971.76</v>
      </c>
      <c r="P165" s="151">
        <f>+IF(OR($Q165=Parametres!$G$2,$Q165=Parametres!$G$3),K165,E165)</f>
        <v>-109313.52</v>
      </c>
      <c r="Q165" s="150" t="str">
        <f t="shared" si="12"/>
        <v>3-Passifs</v>
      </c>
      <c r="R165" s="149" t="str">
        <f t="shared" si="13"/>
        <v>324</v>
      </c>
      <c r="S165" s="150" t="str">
        <f t="shared" si="14"/>
        <v>_</v>
      </c>
      <c r="T165" s="152" t="str">
        <f>+VLOOKUP($L165,Data_Validation!$A:$D,1,0)</f>
        <v>325</v>
      </c>
      <c r="U165" s="152" t="str">
        <f>+VLOOKUP($L165,Data_Validation!$A:$D,3,0)</f>
        <v>Bilan</v>
      </c>
      <c r="V165" s="152" t="str">
        <f>+VLOOKUP($L165,Data_Validation!$A:$D,4,0)</f>
        <v>Taxes de Vente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1700</v>
      </c>
      <c r="B166" s="718" t="s">
        <v>1701</v>
      </c>
      <c r="C166" s="719">
        <v>38010.03</v>
      </c>
      <c r="D166" s="719">
        <v>2782.69</v>
      </c>
      <c r="E166" s="719">
        <v>40792.720000000001</v>
      </c>
      <c r="F166" s="718" t="s">
        <v>2227</v>
      </c>
      <c r="G166" s="718" t="s">
        <v>403</v>
      </c>
      <c r="H166" s="719" t="s">
        <v>2971</v>
      </c>
      <c r="I166" s="720"/>
      <c r="J166" s="720"/>
      <c r="K166" s="720"/>
      <c r="L166" s="149" t="str">
        <f t="shared" si="10"/>
        <v>325B</v>
      </c>
      <c r="M166" s="150" t="str">
        <f t="shared" si="11"/>
        <v>TVQ A RECEVOIR</v>
      </c>
      <c r="N166" s="151">
        <f>+IF(OR($Q166=Parametres!$G$2,$Q166=Parametres!$G$3),I166,C166)</f>
        <v>38010.03</v>
      </c>
      <c r="O166" s="506">
        <f>+IF(OR($Q166=Parametres!$G$2,$Q166=Parametres!$G$3),J166,D166)</f>
        <v>2782.69</v>
      </c>
      <c r="P166" s="151">
        <f>+IF(OR($Q166=Parametres!$G$2,$Q166=Parametres!$G$3),K166,E166)</f>
        <v>40792.720000000001</v>
      </c>
      <c r="Q166" s="150" t="str">
        <f t="shared" si="12"/>
        <v>3-Passifs</v>
      </c>
      <c r="R166" s="149" t="str">
        <f t="shared" si="13"/>
        <v>324</v>
      </c>
      <c r="S166" s="150" t="str">
        <f t="shared" si="14"/>
        <v>_</v>
      </c>
      <c r="T166" s="152" t="str">
        <f>+VLOOKUP($L166,Data_Validation!$A:$D,1,0)</f>
        <v>325B</v>
      </c>
      <c r="U166" s="152" t="str">
        <f>+VLOOKUP($L166,Data_Validation!$A:$D,3,0)</f>
        <v>Bilan</v>
      </c>
      <c r="V166" s="152" t="str">
        <f>+VLOOKUP($L166,Data_Validation!$A:$D,4,0)</f>
        <v>Taxes de Vente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1633</v>
      </c>
      <c r="B167" s="718" t="s">
        <v>1634</v>
      </c>
      <c r="C167" s="720">
        <v>-1206</v>
      </c>
      <c r="D167" s="720">
        <v>-405</v>
      </c>
      <c r="E167" s="720">
        <v>-1611</v>
      </c>
      <c r="F167" s="718" t="s">
        <v>2227</v>
      </c>
      <c r="G167" s="718" t="s">
        <v>403</v>
      </c>
      <c r="H167" s="673" t="s">
        <v>2971</v>
      </c>
      <c r="I167" s="672"/>
      <c r="J167" s="672"/>
      <c r="K167" s="672"/>
      <c r="L167" s="149" t="str">
        <f t="shared" si="10"/>
        <v>326</v>
      </c>
      <c r="M167" s="150" t="str">
        <f t="shared" si="11"/>
        <v>TAXES DE PNEUS</v>
      </c>
      <c r="N167" s="151">
        <f>+IF(OR($Q167=Parametres!$G$2,$Q167=Parametres!$G$3),I167,C167)</f>
        <v>-1206</v>
      </c>
      <c r="O167" s="151">
        <f>+IF(OR($Q167=Parametres!$G$2,$Q167=Parametres!$G$3),J167,D167)</f>
        <v>-405</v>
      </c>
      <c r="P167" s="151">
        <f>+IF(OR($Q167=Parametres!$G$2,$Q167=Parametres!$G$3),K167,E167)</f>
        <v>-1611</v>
      </c>
      <c r="Q167" s="150" t="str">
        <f t="shared" si="12"/>
        <v>3-Passifs</v>
      </c>
      <c r="R167" s="149" t="str">
        <f t="shared" si="13"/>
        <v>324</v>
      </c>
      <c r="S167" s="150" t="str">
        <f t="shared" si="14"/>
        <v>_</v>
      </c>
      <c r="T167" s="152" t="str">
        <f>+VLOOKUP($L167,Data_Validation!$A:$D,1,0)</f>
        <v>326</v>
      </c>
      <c r="U167" s="152" t="str">
        <f>+VLOOKUP($L167,Data_Validation!$A:$D,3,0)</f>
        <v>Bilan</v>
      </c>
      <c r="V167" s="152" t="str">
        <f>+VLOOKUP($L167,Data_Validation!$A:$D,4,0)</f>
        <v>Taxes de Vente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1931</v>
      </c>
      <c r="B168" s="718" t="s">
        <v>1932</v>
      </c>
      <c r="C168" s="720">
        <v>0</v>
      </c>
      <c r="D168" s="720">
        <v>-1832.36</v>
      </c>
      <c r="E168" s="720">
        <v>-1832.36</v>
      </c>
      <c r="F168" s="718" t="s">
        <v>2227</v>
      </c>
      <c r="G168" s="718" t="s">
        <v>403</v>
      </c>
      <c r="H168" s="673" t="s">
        <v>2971</v>
      </c>
      <c r="I168" s="672"/>
      <c r="J168" s="672"/>
      <c r="K168" s="672"/>
      <c r="L168" s="149" t="str">
        <f t="shared" si="10"/>
        <v>326A</v>
      </c>
      <c r="M168" s="150" t="str">
        <f t="shared" si="11"/>
        <v>TAXES PRIMES ASSURANCE</v>
      </c>
      <c r="N168" s="151">
        <f>+IF(OR($Q168=Parametres!$G$2,$Q168=Parametres!$G$3),I168,C168)</f>
        <v>0</v>
      </c>
      <c r="O168" s="151">
        <f>+IF(OR($Q168=Parametres!$G$2,$Q168=Parametres!$G$3),J168,D168)</f>
        <v>-1832.36</v>
      </c>
      <c r="P168" s="151">
        <f>+IF(OR($Q168=Parametres!$G$2,$Q168=Parametres!$G$3),K168,E168)</f>
        <v>-1832.36</v>
      </c>
      <c r="Q168" s="150" t="str">
        <f t="shared" si="12"/>
        <v>3-Passifs</v>
      </c>
      <c r="R168" s="149" t="str">
        <f t="shared" si="13"/>
        <v>324</v>
      </c>
      <c r="S168" s="150" t="str">
        <f t="shared" si="14"/>
        <v>_</v>
      </c>
      <c r="T168" s="152" t="str">
        <f>+VLOOKUP($L168,Data_Validation!$A:$D,1,0)</f>
        <v>326A</v>
      </c>
      <c r="U168" s="152" t="str">
        <f>+VLOOKUP($L168,Data_Validation!$A:$D,3,0)</f>
        <v>Bilan</v>
      </c>
      <c r="V168" s="152" t="str">
        <f>+VLOOKUP($L168,Data_Validation!$A:$D,4,0)</f>
        <v>Taxes de Vente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2428</v>
      </c>
      <c r="B169" s="718" t="s">
        <v>2429</v>
      </c>
      <c r="C169" s="720">
        <v>-819185.49</v>
      </c>
      <c r="D169" s="720">
        <v>-48042.559999999998</v>
      </c>
      <c r="E169" s="720">
        <v>-867228.05</v>
      </c>
      <c r="F169" s="718" t="s">
        <v>2227</v>
      </c>
      <c r="G169" s="718" t="s">
        <v>2429</v>
      </c>
      <c r="H169" s="666" t="s">
        <v>2971</v>
      </c>
      <c r="I169" s="665"/>
      <c r="J169" s="665"/>
      <c r="K169" s="665"/>
      <c r="L169" s="149" t="str">
        <f t="shared" si="10"/>
        <v>327</v>
      </c>
      <c r="M169" s="150" t="str">
        <f t="shared" si="11"/>
        <v>IMPOTS SUR LE REVENU</v>
      </c>
      <c r="N169" s="151">
        <f>+IF(OR($Q169=Parametres!$G$2,$Q169=Parametres!$G$3),I169,C169)</f>
        <v>-819185.49</v>
      </c>
      <c r="O169" s="151">
        <f>+IF(OR($Q169=Parametres!$G$2,$Q169=Parametres!$G$3),J169,D169)</f>
        <v>-48042.559999999998</v>
      </c>
      <c r="P169" s="151">
        <f>+IF(OR($Q169=Parametres!$G$2,$Q169=Parametres!$G$3),K169,E169)</f>
        <v>-867228.05</v>
      </c>
      <c r="Q169" s="150" t="str">
        <f t="shared" si="12"/>
        <v>3-Passifs</v>
      </c>
      <c r="R169" s="149" t="str">
        <f t="shared" si="13"/>
        <v>327</v>
      </c>
      <c r="S169" s="150" t="str">
        <f t="shared" si="14"/>
        <v>_</v>
      </c>
      <c r="T169" s="152" t="str">
        <f>+VLOOKUP($L169,Data_Validation!$A:$D,1,0)</f>
        <v>327</v>
      </c>
      <c r="U169" s="152" t="str">
        <f>+VLOOKUP($L169,Data_Validation!$A:$D,3,0)</f>
        <v>Bilan</v>
      </c>
      <c r="V169" s="152" t="str">
        <f>+VLOOKUP($L169,Data_Validation!$A:$D,4,0)</f>
        <v>Impôts à payer</v>
      </c>
      <c r="W169" s="152">
        <f>+VLOOKUP($L169,Data_Validation!$A:$E,5,0)</f>
        <v>0</v>
      </c>
      <c r="X169" s="152">
        <f>+VLOOKUP($L169,Data_Validation!$A:$F,6,0)</f>
        <v>0</v>
      </c>
    </row>
    <row r="170" spans="1:24" ht="15" customHeight="1">
      <c r="A170" s="718" t="s">
        <v>2334</v>
      </c>
      <c r="B170" s="718" t="s">
        <v>2335</v>
      </c>
      <c r="C170" s="719">
        <v>-65015.78</v>
      </c>
      <c r="D170" s="719">
        <v>-18376.57</v>
      </c>
      <c r="E170" s="719">
        <v>-83392.350000000006</v>
      </c>
      <c r="F170" s="718" t="s">
        <v>2227</v>
      </c>
      <c r="G170" s="718" t="s">
        <v>2335</v>
      </c>
      <c r="H170" s="719" t="s">
        <v>2971</v>
      </c>
      <c r="I170" s="720"/>
      <c r="J170" s="720"/>
      <c r="K170" s="720"/>
      <c r="L170" s="149" t="str">
        <f t="shared" si="10"/>
        <v>328</v>
      </c>
      <c r="M170" s="150" t="str">
        <f t="shared" si="11"/>
        <v>BONUS EMPLOYES A/P</v>
      </c>
      <c r="N170" s="151">
        <f>+IF(OR($Q170=Parametres!$G$2,$Q170=Parametres!$G$3),I170,C170)</f>
        <v>-65015.78</v>
      </c>
      <c r="O170" s="504">
        <f>+IF(OR($Q170=Parametres!$G$2,$Q170=Parametres!$G$3),J170,D170)</f>
        <v>-18376.57</v>
      </c>
      <c r="P170" s="151">
        <f>+IF(OR($Q170=Parametres!$G$2,$Q170=Parametres!$G$3),K170,E170)</f>
        <v>-83392.350000000006</v>
      </c>
      <c r="Q170" s="150" t="str">
        <f t="shared" si="12"/>
        <v>3-Passifs</v>
      </c>
      <c r="R170" s="149" t="str">
        <f t="shared" si="13"/>
        <v>328</v>
      </c>
      <c r="S170" s="150" t="str">
        <f t="shared" si="14"/>
        <v>_</v>
      </c>
      <c r="T170" s="152" t="str">
        <f>+VLOOKUP($L170,Data_Validation!$A:$D,1,0)</f>
        <v>328</v>
      </c>
      <c r="U170" s="152" t="str">
        <f>+VLOOKUP($L170,Data_Validation!$A:$D,3,0)</f>
        <v>Bilan</v>
      </c>
      <c r="V170" s="152" t="str">
        <f>+VLOOKUP($L170,Data_Validation!$A:$D,4,0)</f>
        <v>Salaires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1827</v>
      </c>
      <c r="B171" s="718" t="s">
        <v>448</v>
      </c>
      <c r="C171" s="720">
        <v>-13255.58</v>
      </c>
      <c r="D171" s="720">
        <v>-2375.87</v>
      </c>
      <c r="E171" s="720">
        <v>-15631.45</v>
      </c>
      <c r="F171" s="718" t="s">
        <v>2227</v>
      </c>
      <c r="G171" s="718" t="s">
        <v>448</v>
      </c>
      <c r="H171" s="673" t="s">
        <v>2971</v>
      </c>
      <c r="I171" s="673"/>
      <c r="J171" s="673"/>
      <c r="K171" s="673"/>
      <c r="L171" s="149" t="str">
        <f t="shared" si="10"/>
        <v>331B</v>
      </c>
      <c r="M171" s="150" t="str">
        <f t="shared" si="11"/>
        <v>RESERVE INVENTAIRE USAGE</v>
      </c>
      <c r="N171" s="151">
        <f>+IF(OR($Q171=Parametres!$G$2,$Q171=Parametres!$G$3),I171,C171)</f>
        <v>-13255.58</v>
      </c>
      <c r="O171" s="151">
        <f>+IF(OR($Q171=Parametres!$G$2,$Q171=Parametres!$G$3),J171,D171)</f>
        <v>-2375.87</v>
      </c>
      <c r="P171" s="151">
        <f>+IF(OR($Q171=Parametres!$G$2,$Q171=Parametres!$G$3),K171,E171)</f>
        <v>-15631.45</v>
      </c>
      <c r="Q171" s="150" t="str">
        <f t="shared" si="12"/>
        <v>3-Passifs</v>
      </c>
      <c r="R171" s="149" t="str">
        <f t="shared" si="13"/>
        <v>331B</v>
      </c>
      <c r="S171" s="150" t="str">
        <f t="shared" si="14"/>
        <v>_</v>
      </c>
      <c r="T171" s="152" t="str">
        <f>+VLOOKUP($L171,Data_Validation!$A:$D,1,0)</f>
        <v>331B</v>
      </c>
      <c r="U171" s="152" t="str">
        <f>+VLOOKUP($L171,Data_Validation!$A:$D,3,0)</f>
        <v>Bilan</v>
      </c>
      <c r="V171" s="152" t="str">
        <f>+VLOOKUP($L171,Data_Validation!$A:$D,4,0)</f>
        <v>Inventaire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1080</v>
      </c>
      <c r="B172" s="718" t="s">
        <v>1063</v>
      </c>
      <c r="C172" s="719">
        <v>-43776.89</v>
      </c>
      <c r="D172" s="719">
        <v>-2900</v>
      </c>
      <c r="E172" s="719">
        <v>-46676.89</v>
      </c>
      <c r="F172" s="718" t="s">
        <v>2227</v>
      </c>
      <c r="G172" s="718" t="s">
        <v>1063</v>
      </c>
      <c r="H172" s="719" t="s">
        <v>2971</v>
      </c>
      <c r="I172" s="720"/>
      <c r="J172" s="720"/>
      <c r="K172" s="720"/>
      <c r="L172" s="149" t="str">
        <f t="shared" si="10"/>
        <v>331C</v>
      </c>
      <c r="M172" s="150" t="str">
        <f t="shared" si="11"/>
        <v>RESERVE INVENTAIRE NEUF</v>
      </c>
      <c r="N172" s="151">
        <f>+IF(OR($Q172=Parametres!$G$2,$Q172=Parametres!$G$3),I172,C172)</f>
        <v>-43776.89</v>
      </c>
      <c r="O172" s="505">
        <f>+IF(OR($Q172=Parametres!$G$2,$Q172=Parametres!$G$3),J172,D172)</f>
        <v>-2900</v>
      </c>
      <c r="P172" s="151">
        <f>+IF(OR($Q172=Parametres!$G$2,$Q172=Parametres!$G$3),K172,E172)</f>
        <v>-46676.89</v>
      </c>
      <c r="Q172" s="150" t="str">
        <f t="shared" si="12"/>
        <v>3-Passifs</v>
      </c>
      <c r="R172" s="149" t="str">
        <f t="shared" si="13"/>
        <v>331C</v>
      </c>
      <c r="S172" s="150" t="str">
        <f t="shared" si="14"/>
        <v>_</v>
      </c>
      <c r="T172" s="152" t="str">
        <f>+VLOOKUP($L172,Data_Validation!$A:$D,1,0)</f>
        <v>331C</v>
      </c>
      <c r="U172" s="152" t="str">
        <f>+VLOOKUP($L172,Data_Validation!$A:$D,3,0)</f>
        <v>Bilan</v>
      </c>
      <c r="V172" s="152" t="str">
        <f>+VLOOKUP($L172,Data_Validation!$A:$D,4,0)</f>
        <v>Inventaire Véhicules Neufs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1921</v>
      </c>
      <c r="B173" s="718" t="s">
        <v>1922</v>
      </c>
      <c r="C173" s="720">
        <v>-29817.37</v>
      </c>
      <c r="D173" s="720">
        <v>5586.44</v>
      </c>
      <c r="E173" s="720">
        <v>-24230.93</v>
      </c>
      <c r="F173" s="718" t="s">
        <v>2227</v>
      </c>
      <c r="G173" s="718" t="s">
        <v>1063</v>
      </c>
      <c r="H173" s="666" t="s">
        <v>2971</v>
      </c>
      <c r="I173" s="665"/>
      <c r="J173" s="665"/>
      <c r="K173" s="665"/>
      <c r="L173" s="149" t="str">
        <f t="shared" si="10"/>
        <v>331D</v>
      </c>
      <c r="M173" s="150" t="str">
        <f t="shared" si="11"/>
        <v>RESERVE DEMONSTRATEURS</v>
      </c>
      <c r="N173" s="151">
        <f>+IF(OR($Q173=Parametres!$G$2,$Q173=Parametres!$G$3),I173,C173)</f>
        <v>-29817.37</v>
      </c>
      <c r="O173" s="151">
        <f>+IF(OR($Q173=Parametres!$G$2,$Q173=Parametres!$G$3),J173,D173)</f>
        <v>5586.44</v>
      </c>
      <c r="P173" s="151">
        <f>+IF(OR($Q173=Parametres!$G$2,$Q173=Parametres!$G$3),K173,E173)</f>
        <v>-24230.93</v>
      </c>
      <c r="Q173" s="150" t="str">
        <f t="shared" si="12"/>
        <v>3-Passifs</v>
      </c>
      <c r="R173" s="149" t="str">
        <f t="shared" si="13"/>
        <v>331C</v>
      </c>
      <c r="S173" s="150" t="str">
        <f t="shared" si="14"/>
        <v>_</v>
      </c>
      <c r="T173" s="152" t="str">
        <f>+VLOOKUP($L173,Data_Validation!$A:$D,1,0)</f>
        <v>331D</v>
      </c>
      <c r="U173" s="152" t="str">
        <f>+VLOOKUP($L173,Data_Validation!$A:$D,3,0)</f>
        <v>Bilan</v>
      </c>
      <c r="V173" s="152" t="str">
        <f>+VLOOKUP($L173,Data_Validation!$A:$D,4,0)</f>
        <v>Inventaire Véhicules Neufs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1923</v>
      </c>
      <c r="B174" s="718" t="s">
        <v>1924</v>
      </c>
      <c r="C174" s="719">
        <v>-59040.800000000003</v>
      </c>
      <c r="D174" s="719">
        <v>9751.0300000000007</v>
      </c>
      <c r="E174" s="719">
        <v>-49289.77</v>
      </c>
      <c r="F174" s="718" t="s">
        <v>2227</v>
      </c>
      <c r="G174" s="718" t="s">
        <v>1063</v>
      </c>
      <c r="H174" s="719" t="s">
        <v>2971</v>
      </c>
      <c r="I174" s="720"/>
      <c r="J174" s="720"/>
      <c r="K174" s="720"/>
      <c r="L174" s="149" t="str">
        <f t="shared" si="10"/>
        <v>331E</v>
      </c>
      <c r="M174" s="150" t="str">
        <f t="shared" si="11"/>
        <v>RESERVE COURTOISIES</v>
      </c>
      <c r="N174" s="151">
        <f>+IF(OR($Q174=Parametres!$G$2,$Q174=Parametres!$G$3),I174,C174)</f>
        <v>-59040.800000000003</v>
      </c>
      <c r="O174" s="505">
        <f>+IF(OR($Q174=Parametres!$G$2,$Q174=Parametres!$G$3),J174,D174)</f>
        <v>9751.0300000000007</v>
      </c>
      <c r="P174" s="151">
        <f>+IF(OR($Q174=Parametres!$G$2,$Q174=Parametres!$G$3),K174,E174)</f>
        <v>-49289.77</v>
      </c>
      <c r="Q174" s="150" t="str">
        <f t="shared" si="12"/>
        <v>3-Passifs</v>
      </c>
      <c r="R174" s="149" t="str">
        <f t="shared" si="13"/>
        <v>331C</v>
      </c>
      <c r="S174" s="150" t="str">
        <f t="shared" si="14"/>
        <v>_</v>
      </c>
      <c r="T174" s="152" t="str">
        <f>+VLOOKUP($L174,Data_Validation!$A:$D,1,0)</f>
        <v>331E</v>
      </c>
      <c r="U174" s="152" t="str">
        <f>+VLOOKUP($L174,Data_Validation!$A:$D,3,0)</f>
        <v>Bilan</v>
      </c>
      <c r="V174" s="152" t="str">
        <f>+VLOOKUP($L174,Data_Validation!$A:$D,4,0)</f>
        <v>Inventaire Véhicules Neufs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1124</v>
      </c>
      <c r="B175" s="718" t="s">
        <v>1125</v>
      </c>
      <c r="C175" s="720">
        <v>-21068.75</v>
      </c>
      <c r="D175" s="720">
        <v>0</v>
      </c>
      <c r="E175" s="720">
        <v>-21068.75</v>
      </c>
      <c r="F175" s="718" t="s">
        <v>2227</v>
      </c>
      <c r="G175" s="718" t="s">
        <v>2250</v>
      </c>
      <c r="H175" s="673" t="s">
        <v>2971</v>
      </c>
      <c r="I175" s="672"/>
      <c r="J175" s="672"/>
      <c r="K175" s="672"/>
      <c r="L175" s="149" t="str">
        <f t="shared" si="10"/>
        <v>331L</v>
      </c>
      <c r="M175" s="150" t="str">
        <f t="shared" si="11"/>
        <v>PROVISION CHANGEMENTS HUILE</v>
      </c>
      <c r="N175" s="151">
        <f>+IF(OR($Q175=Parametres!$G$2,$Q175=Parametres!$G$3),I175,C175)</f>
        <v>-21068.75</v>
      </c>
      <c r="O175" s="151">
        <f>+IF(OR($Q175=Parametres!$G$2,$Q175=Parametres!$G$3),J175,D175)</f>
        <v>0</v>
      </c>
      <c r="P175" s="151">
        <f>+IF(OR($Q175=Parametres!$G$2,$Q175=Parametres!$G$3),K175,E175)</f>
        <v>-21068.75</v>
      </c>
      <c r="Q175" s="150" t="str">
        <f t="shared" si="12"/>
        <v>3-Passifs</v>
      </c>
      <c r="R175" s="149" t="str">
        <f t="shared" si="13"/>
        <v>331</v>
      </c>
      <c r="S175" s="150" t="str">
        <f t="shared" si="14"/>
        <v>_</v>
      </c>
      <c r="T175" s="152" t="str">
        <f>+VLOOKUP($L175,Data_Validation!$A:$D,1,0)</f>
        <v>331L</v>
      </c>
      <c r="U175" s="152" t="str">
        <f>+VLOOKUP($L175,Data_Validation!$A:$D,3,0)</f>
        <v>Bilan</v>
      </c>
      <c r="V175" s="152" t="str">
        <f>+VLOOKUP($L175,Data_Validation!$A:$D,4,0)</f>
        <v>autres courus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1111</v>
      </c>
      <c r="B176" s="718" t="s">
        <v>1112</v>
      </c>
      <c r="C176" s="720">
        <v>-16307</v>
      </c>
      <c r="D176" s="720">
        <v>0</v>
      </c>
      <c r="E176" s="720">
        <v>-16307</v>
      </c>
      <c r="F176" s="718" t="s">
        <v>2227</v>
      </c>
      <c r="G176" s="718" t="s">
        <v>1112</v>
      </c>
      <c r="H176" s="673" t="s">
        <v>2971</v>
      </c>
      <c r="I176" s="672"/>
      <c r="J176" s="672"/>
      <c r="K176" s="672"/>
      <c r="L176" s="149" t="str">
        <f t="shared" si="10"/>
        <v>331V</v>
      </c>
      <c r="M176" s="150" t="str">
        <f t="shared" si="11"/>
        <v>PROVISION SERVICE VALET</v>
      </c>
      <c r="N176" s="151">
        <f>+IF(OR($Q176=Parametres!$G$2,$Q176=Parametres!$G$3),I176,C176)</f>
        <v>-16307</v>
      </c>
      <c r="O176" s="151">
        <f>+IF(OR($Q176=Parametres!$G$2,$Q176=Parametres!$G$3),J176,D176)</f>
        <v>0</v>
      </c>
      <c r="P176" s="151">
        <f>+IF(OR($Q176=Parametres!$G$2,$Q176=Parametres!$G$3),K176,E176)</f>
        <v>-16307</v>
      </c>
      <c r="Q176" s="150" t="str">
        <f t="shared" si="12"/>
        <v>3-Passifs</v>
      </c>
      <c r="R176" s="149" t="str">
        <f t="shared" si="13"/>
        <v>331V</v>
      </c>
      <c r="S176" s="150" t="str">
        <f t="shared" si="14"/>
        <v>_</v>
      </c>
      <c r="T176" s="152" t="str">
        <f>+VLOOKUP($L176,Data_Validation!$A:$D,1,0)</f>
        <v>331V</v>
      </c>
      <c r="U176" s="152" t="str">
        <f>+VLOOKUP($L176,Data_Validation!$A:$D,3,0)</f>
        <v>Bilan</v>
      </c>
      <c r="V176" s="152" t="str">
        <f>+VLOOKUP($L176,Data_Validation!$A:$D,4,0)</f>
        <v>autres courus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2911</v>
      </c>
      <c r="B177" s="718" t="s">
        <v>2912</v>
      </c>
      <c r="C177" s="720">
        <v>-2473.1999999999998</v>
      </c>
      <c r="D177" s="720">
        <v>-89.1</v>
      </c>
      <c r="E177" s="720">
        <v>-2562.3000000000002</v>
      </c>
      <c r="F177" s="718" t="s">
        <v>2227</v>
      </c>
      <c r="G177" s="718" t="s">
        <v>2912</v>
      </c>
      <c r="H177" s="673" t="s">
        <v>2971</v>
      </c>
      <c r="I177" s="672"/>
      <c r="J177" s="672"/>
      <c r="K177" s="672"/>
      <c r="L177" s="149" t="str">
        <f t="shared" si="10"/>
        <v>331Z</v>
      </c>
      <c r="M177" s="150" t="str">
        <f t="shared" si="11"/>
        <v>RESERVE AZOTE</v>
      </c>
      <c r="N177" s="151">
        <f>+IF(OR($Q177=Parametres!$G$2,$Q177=Parametres!$G$3),I177,C177)</f>
        <v>-2473.1999999999998</v>
      </c>
      <c r="O177" s="151">
        <f>+IF(OR($Q177=Parametres!$G$2,$Q177=Parametres!$G$3),J177,D177)</f>
        <v>-89.1</v>
      </c>
      <c r="P177" s="151">
        <f>+IF(OR($Q177=Parametres!$G$2,$Q177=Parametres!$G$3),K177,E177)</f>
        <v>-2562.3000000000002</v>
      </c>
      <c r="Q177" s="150" t="str">
        <f t="shared" si="12"/>
        <v>3-Passifs</v>
      </c>
      <c r="R177" s="149" t="str">
        <f t="shared" si="13"/>
        <v>331Z</v>
      </c>
      <c r="S177" s="150" t="str">
        <f t="shared" si="14"/>
        <v>_</v>
      </c>
      <c r="T177" s="152" t="str">
        <f>+VLOOKUP($L177,Data_Validation!$A:$D,1,0)</f>
        <v>331Z</v>
      </c>
      <c r="U177" s="152" t="str">
        <f>+VLOOKUP($L177,Data_Validation!$A:$D,3,0)</f>
        <v>Bilan</v>
      </c>
      <c r="V177" s="152" t="str">
        <f>+VLOOKUP($L177,Data_Validation!$A:$D,4,0)</f>
        <v>autres courus</v>
      </c>
      <c r="W177" s="152">
        <f>+VLOOKUP($L177,Data_Validation!$A:$E,5,0)</f>
        <v>0</v>
      </c>
      <c r="X177" s="152">
        <f>+VLOOKUP($L177,Data_Validation!$A:$F,6,0)</f>
        <v>0</v>
      </c>
    </row>
    <row r="178" spans="1:24" ht="15" customHeight="1">
      <c r="A178" s="718" t="s">
        <v>2306</v>
      </c>
      <c r="B178" s="718" t="s">
        <v>2307</v>
      </c>
      <c r="C178" s="720">
        <v>-127160.4</v>
      </c>
      <c r="D178" s="720">
        <v>-6507.6</v>
      </c>
      <c r="E178" s="720">
        <v>-133668</v>
      </c>
      <c r="F178" s="718" t="s">
        <v>2227</v>
      </c>
      <c r="G178" s="718" t="s">
        <v>2307</v>
      </c>
      <c r="H178" s="673" t="s">
        <v>2971</v>
      </c>
      <c r="I178" s="672"/>
      <c r="J178" s="672"/>
      <c r="K178" s="672"/>
      <c r="L178" s="149" t="str">
        <f t="shared" si="10"/>
        <v>332</v>
      </c>
      <c r="M178" s="150" t="str">
        <f t="shared" si="11"/>
        <v>REVENU HOLDBACK DIFFERE</v>
      </c>
      <c r="N178" s="151">
        <f>+IF(OR($Q178=Parametres!$G$2,$Q178=Parametres!$G$3),I178,C178)</f>
        <v>-127160.4</v>
      </c>
      <c r="O178" s="151">
        <f>+IF(OR($Q178=Parametres!$G$2,$Q178=Parametres!$G$3),J178,D178)</f>
        <v>-6507.6</v>
      </c>
      <c r="P178" s="151">
        <f>+IF(OR($Q178=Parametres!$G$2,$Q178=Parametres!$G$3),K178,E178)</f>
        <v>-133668</v>
      </c>
      <c r="Q178" s="150" t="str">
        <f t="shared" si="12"/>
        <v>3-Passifs</v>
      </c>
      <c r="R178" s="149" t="str">
        <f t="shared" si="13"/>
        <v>332</v>
      </c>
      <c r="S178" s="150" t="str">
        <f t="shared" si="14"/>
        <v>_</v>
      </c>
      <c r="T178" s="152" t="str">
        <f>+VLOOKUP($L178,Data_Validation!$A:$D,1,0)</f>
        <v>332</v>
      </c>
      <c r="U178" s="152" t="str">
        <f>+VLOOKUP($L178,Data_Validation!$A:$D,3,0)</f>
        <v>Bilan</v>
      </c>
      <c r="V178" s="152" t="str">
        <f>+VLOOKUP($L178,Data_Validation!$A:$D,4,0)</f>
        <v>Autres Courus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1100</v>
      </c>
      <c r="B179" s="718" t="s">
        <v>1101</v>
      </c>
      <c r="C179" s="720">
        <v>-1101731</v>
      </c>
      <c r="D179" s="720">
        <v>0</v>
      </c>
      <c r="E179" s="720">
        <v>-1101731</v>
      </c>
      <c r="F179" s="718" t="s">
        <v>2227</v>
      </c>
      <c r="G179" s="718" t="s">
        <v>1101</v>
      </c>
      <c r="H179" s="673" t="s">
        <v>2971</v>
      </c>
      <c r="I179" s="672"/>
      <c r="J179" s="672"/>
      <c r="K179" s="672"/>
      <c r="L179" s="149" t="str">
        <f t="shared" si="10"/>
        <v>337A</v>
      </c>
      <c r="M179" s="150" t="str">
        <f t="shared" si="11"/>
        <v>IMPOTS FUTURS</v>
      </c>
      <c r="N179" s="151">
        <f>+IF(OR($Q179=Parametres!$G$2,$Q179=Parametres!$G$3),I179,C179)</f>
        <v>-1101731</v>
      </c>
      <c r="O179" s="151">
        <f>+IF(OR($Q179=Parametres!$G$2,$Q179=Parametres!$G$3),J179,D179)</f>
        <v>0</v>
      </c>
      <c r="P179" s="151">
        <f>+IF(OR($Q179=Parametres!$G$2,$Q179=Parametres!$G$3),K179,E179)</f>
        <v>-1101731</v>
      </c>
      <c r="Q179" s="150" t="str">
        <f t="shared" si="12"/>
        <v>3-Passifs</v>
      </c>
      <c r="R179" s="149" t="str">
        <f t="shared" si="13"/>
        <v>337A</v>
      </c>
      <c r="S179" s="150" t="str">
        <f t="shared" si="14"/>
        <v>_</v>
      </c>
      <c r="T179" s="152" t="str">
        <f>+VLOOKUP($L179,Data_Validation!$A:$D,1,0)</f>
        <v>337A</v>
      </c>
      <c r="U179" s="152" t="str">
        <f>+VLOOKUP($L179,Data_Validation!$A:$D,3,0)</f>
        <v>Bilan</v>
      </c>
      <c r="V179" s="152" t="str">
        <f>+VLOOKUP($L179,Data_Validation!$A:$D,4,0)</f>
        <v>Impôts Futurs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1711</v>
      </c>
      <c r="B180" s="718" t="s">
        <v>378</v>
      </c>
      <c r="C180" s="720">
        <v>-464442.97</v>
      </c>
      <c r="D180" s="720">
        <v>-4250</v>
      </c>
      <c r="E180" s="720">
        <v>-468692.97</v>
      </c>
      <c r="F180" s="718" t="s">
        <v>2227</v>
      </c>
      <c r="G180" s="718" t="s">
        <v>378</v>
      </c>
      <c r="H180" s="673" t="s">
        <v>2971</v>
      </c>
      <c r="I180" s="672"/>
      <c r="J180" s="672"/>
      <c r="K180" s="672"/>
      <c r="L180" s="149" t="str">
        <f t="shared" si="10"/>
        <v>352</v>
      </c>
      <c r="M180" s="150" t="str">
        <f t="shared" si="11"/>
        <v>AMORT.CUM. EQUIP. &amp; OUTILLAGES</v>
      </c>
      <c r="N180" s="151">
        <f>+IF(OR($Q180=Parametres!$G$2,$Q180=Parametres!$G$3),I180,C180)</f>
        <v>-464442.97</v>
      </c>
      <c r="O180" s="151">
        <f>+IF(OR($Q180=Parametres!$G$2,$Q180=Parametres!$G$3),J180,D180)</f>
        <v>-4250</v>
      </c>
      <c r="P180" s="151">
        <f>+IF(OR($Q180=Parametres!$G$2,$Q180=Parametres!$G$3),K180,E180)</f>
        <v>-468692.97</v>
      </c>
      <c r="Q180" s="150" t="str">
        <f t="shared" si="12"/>
        <v>3-Passifs</v>
      </c>
      <c r="R180" s="149" t="str">
        <f t="shared" si="13"/>
        <v>352</v>
      </c>
      <c r="S180" s="150" t="str">
        <f t="shared" si="14"/>
        <v>_</v>
      </c>
      <c r="T180" s="152" t="str">
        <f>+VLOOKUP($L180,Data_Validation!$A:$D,1,0)</f>
        <v>352</v>
      </c>
      <c r="U180" s="152" t="str">
        <f>+VLOOKUP($L180,Data_Validation!$A:$D,3,0)</f>
        <v>Bilan</v>
      </c>
      <c r="V180" s="152" t="str">
        <f>+VLOOKUP($L180,Data_Validation!$A:$D,4,0)</f>
        <v>Équipements Service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1663</v>
      </c>
      <c r="B181" s="718" t="s">
        <v>379</v>
      </c>
      <c r="C181" s="720">
        <v>-15652.86</v>
      </c>
      <c r="D181" s="720">
        <v>-50</v>
      </c>
      <c r="E181" s="720">
        <v>-15702.86</v>
      </c>
      <c r="F181" s="718" t="s">
        <v>2227</v>
      </c>
      <c r="G181" s="718" t="s">
        <v>379</v>
      </c>
      <c r="H181" s="666" t="s">
        <v>2971</v>
      </c>
      <c r="I181" s="665"/>
      <c r="J181" s="665"/>
      <c r="K181" s="665"/>
      <c r="L181" s="149" t="str">
        <f t="shared" si="10"/>
        <v>353</v>
      </c>
      <c r="M181" s="150" t="str">
        <f t="shared" si="11"/>
        <v>AMORT.CUM. EQUIP. PIECES &amp; ACCESS.</v>
      </c>
      <c r="N181" s="151">
        <f>+IF(OR($Q181=Parametres!$G$2,$Q181=Parametres!$G$3),I181,C181)</f>
        <v>-15652.86</v>
      </c>
      <c r="O181" s="151">
        <f>+IF(OR($Q181=Parametres!$G$2,$Q181=Parametres!$G$3),J181,D181)</f>
        <v>-50</v>
      </c>
      <c r="P181" s="151">
        <f>+IF(OR($Q181=Parametres!$G$2,$Q181=Parametres!$G$3),K181,E181)</f>
        <v>-15702.86</v>
      </c>
      <c r="Q181" s="150" t="str">
        <f t="shared" si="12"/>
        <v>3-Passifs</v>
      </c>
      <c r="R181" s="149" t="str">
        <f t="shared" si="13"/>
        <v>353</v>
      </c>
      <c r="S181" s="150" t="str">
        <f t="shared" si="14"/>
        <v>_</v>
      </c>
      <c r="T181" s="152" t="str">
        <f>+VLOOKUP($L181,Data_Validation!$A:$D,1,0)</f>
        <v>353</v>
      </c>
      <c r="U181" s="152" t="str">
        <f>+VLOOKUP($L181,Data_Validation!$A:$D,3,0)</f>
        <v>Bilan</v>
      </c>
      <c r="V181" s="152" t="str">
        <f>+VLOOKUP($L181,Data_Validation!$A:$D,4,0)</f>
        <v>Équipements Service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1688</v>
      </c>
      <c r="B182" s="718" t="s">
        <v>1689</v>
      </c>
      <c r="C182" s="720">
        <v>-271727.96000000002</v>
      </c>
      <c r="D182" s="720">
        <v>-2500</v>
      </c>
      <c r="E182" s="720">
        <v>-274227.96000000002</v>
      </c>
      <c r="F182" s="718" t="s">
        <v>2227</v>
      </c>
      <c r="G182" s="718" t="s">
        <v>1689</v>
      </c>
      <c r="H182" s="666" t="s">
        <v>2971</v>
      </c>
      <c r="I182" s="665"/>
      <c r="J182" s="665"/>
      <c r="K182" s="665"/>
      <c r="L182" s="149" t="str">
        <f t="shared" si="10"/>
        <v>354A</v>
      </c>
      <c r="M182" s="150" t="str">
        <f t="shared" si="11"/>
        <v>AMORT.CUM. MEUBLES &amp; ACCESSOIRES</v>
      </c>
      <c r="N182" s="151">
        <f>+IF(OR($Q182=Parametres!$G$2,$Q182=Parametres!$G$3),I182,C182)</f>
        <v>-271727.96000000002</v>
      </c>
      <c r="O182" s="151">
        <f>+IF(OR($Q182=Parametres!$G$2,$Q182=Parametres!$G$3),J182,D182)</f>
        <v>-2500</v>
      </c>
      <c r="P182" s="151">
        <f>+IF(OR($Q182=Parametres!$G$2,$Q182=Parametres!$G$3),K182,E182)</f>
        <v>-274227.96000000002</v>
      </c>
      <c r="Q182" s="150" t="str">
        <f t="shared" si="12"/>
        <v>3-Passifs</v>
      </c>
      <c r="R182" s="149" t="str">
        <f t="shared" si="13"/>
        <v>354A</v>
      </c>
      <c r="S182" s="150" t="str">
        <f t="shared" si="14"/>
        <v>_</v>
      </c>
      <c r="T182" s="152" t="str">
        <f>+VLOOKUP($L182,Data_Validation!$A:$D,1,0)</f>
        <v>354A</v>
      </c>
      <c r="U182" s="152" t="str">
        <f>+VLOOKUP($L182,Data_Validation!$A:$D,3,0)</f>
        <v>Bilan</v>
      </c>
      <c r="V182" s="152" t="str">
        <f>+VLOOKUP($L182,Data_Validation!$A:$D,4,0)</f>
        <v>Mobilier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1206</v>
      </c>
      <c r="B183" s="718" t="s">
        <v>1207</v>
      </c>
      <c r="C183" s="720">
        <v>-63789.65</v>
      </c>
      <c r="D183" s="720">
        <v>-500</v>
      </c>
      <c r="E183" s="720">
        <v>-64289.65</v>
      </c>
      <c r="F183" s="718" t="s">
        <v>2227</v>
      </c>
      <c r="G183" s="718" t="s">
        <v>1207</v>
      </c>
      <c r="H183" s="673" t="s">
        <v>2971</v>
      </c>
      <c r="I183" s="672"/>
      <c r="J183" s="672"/>
      <c r="K183" s="672"/>
      <c r="L183" s="149" t="str">
        <f t="shared" si="10"/>
        <v>354B</v>
      </c>
      <c r="M183" s="150" t="str">
        <f t="shared" si="11"/>
        <v>AMORT.CUM. ENSEIGNE</v>
      </c>
      <c r="N183" s="151">
        <f>+IF(OR($Q183=Parametres!$G$2,$Q183=Parametres!$G$3),I183,C183)</f>
        <v>-63789.65</v>
      </c>
      <c r="O183" s="151">
        <f>+IF(OR($Q183=Parametres!$G$2,$Q183=Parametres!$G$3),J183,D183)</f>
        <v>-500</v>
      </c>
      <c r="P183" s="151">
        <f>+IF(OR($Q183=Parametres!$G$2,$Q183=Parametres!$G$3),K183,E183)</f>
        <v>-64289.65</v>
      </c>
      <c r="Q183" s="150" t="str">
        <f t="shared" si="12"/>
        <v>3-Passifs</v>
      </c>
      <c r="R183" s="149" t="str">
        <f t="shared" si="13"/>
        <v>354B</v>
      </c>
      <c r="S183" s="150" t="str">
        <f t="shared" si="14"/>
        <v>_</v>
      </c>
      <c r="T183" s="152" t="str">
        <f>+VLOOKUP($L183,Data_Validation!$A:$D,1,0)</f>
        <v>354B</v>
      </c>
      <c r="U183" s="152" t="str">
        <f>+VLOOKUP($L183,Data_Validation!$A:$D,3,0)</f>
        <v>Bilan</v>
      </c>
      <c r="V183" s="152" t="str">
        <f>+VLOOKUP($L183,Data_Validation!$A:$D,4,0)</f>
        <v>Enseigne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1789</v>
      </c>
      <c r="B184" s="718" t="s">
        <v>1790</v>
      </c>
      <c r="C184" s="720">
        <v>-155619.94</v>
      </c>
      <c r="D184" s="720">
        <v>-1250</v>
      </c>
      <c r="E184" s="720">
        <v>-156869.94</v>
      </c>
      <c r="F184" s="718" t="s">
        <v>2227</v>
      </c>
      <c r="G184" s="718" t="s">
        <v>1790</v>
      </c>
      <c r="H184" s="666" t="s">
        <v>2971</v>
      </c>
      <c r="I184" s="665"/>
      <c r="J184" s="665"/>
      <c r="K184" s="665"/>
      <c r="L184" s="149" t="str">
        <f t="shared" si="10"/>
        <v>354C</v>
      </c>
      <c r="M184" s="150" t="str">
        <f t="shared" si="11"/>
        <v>AMORT.CUM. EQUIP. INFORMATIQUE</v>
      </c>
      <c r="N184" s="151">
        <f>+IF(OR($Q184=Parametres!$G$2,$Q184=Parametres!$G$3),I184,C184)</f>
        <v>-155619.94</v>
      </c>
      <c r="O184" s="151">
        <f>+IF(OR($Q184=Parametres!$G$2,$Q184=Parametres!$G$3),J184,D184)</f>
        <v>-1250</v>
      </c>
      <c r="P184" s="151">
        <f>+IF(OR($Q184=Parametres!$G$2,$Q184=Parametres!$G$3),K184,E184)</f>
        <v>-156869.94</v>
      </c>
      <c r="Q184" s="150" t="str">
        <f t="shared" si="12"/>
        <v>3-Passifs</v>
      </c>
      <c r="R184" s="149" t="str">
        <f t="shared" si="13"/>
        <v>354C</v>
      </c>
      <c r="S184" s="150" t="str">
        <f t="shared" si="14"/>
        <v>_</v>
      </c>
      <c r="T184" s="152" t="str">
        <f>+VLOOKUP($L184,Data_Validation!$A:$D,1,0)</f>
        <v>354C</v>
      </c>
      <c r="U184" s="152" t="str">
        <f>+VLOOKUP($L184,Data_Validation!$A:$D,3,0)</f>
        <v>Bilan</v>
      </c>
      <c r="V184" s="152" t="str">
        <f>+VLOOKUP($L184,Data_Validation!$A:$D,4,0)</f>
        <v>Équipements Informatique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1617</v>
      </c>
      <c r="B185" s="718" t="s">
        <v>367</v>
      </c>
      <c r="C185" s="720">
        <v>-2144.98</v>
      </c>
      <c r="D185" s="720">
        <v>0</v>
      </c>
      <c r="E185" s="720">
        <v>-2144.98</v>
      </c>
      <c r="F185" s="718" t="s">
        <v>2227</v>
      </c>
      <c r="G185" s="718" t="s">
        <v>367</v>
      </c>
      <c r="H185" s="719" t="s">
        <v>2971</v>
      </c>
      <c r="I185" s="719"/>
      <c r="J185" s="719"/>
      <c r="K185" s="719"/>
      <c r="L185" s="149" t="str">
        <f t="shared" si="10"/>
        <v>355</v>
      </c>
      <c r="M185" s="150" t="str">
        <f t="shared" si="11"/>
        <v>AMORT.CUM. VEHICULES DE COMPAGNIE</v>
      </c>
      <c r="N185" s="151">
        <f>+IF(OR($Q185=Parametres!$G$2,$Q185=Parametres!$G$3),I185,C185)</f>
        <v>-2144.98</v>
      </c>
      <c r="O185" s="151">
        <f>+IF(OR($Q185=Parametres!$G$2,$Q185=Parametres!$G$3),J185,D185)</f>
        <v>0</v>
      </c>
      <c r="P185" s="151">
        <f>+IF(OR($Q185=Parametres!$G$2,$Q185=Parametres!$G$3),K185,E185)</f>
        <v>-2144.98</v>
      </c>
      <c r="Q185" s="150" t="str">
        <f t="shared" si="12"/>
        <v>3-Passifs</v>
      </c>
      <c r="R185" s="149" t="str">
        <f t="shared" si="13"/>
        <v>355</v>
      </c>
      <c r="S185" s="150" t="str">
        <f t="shared" si="14"/>
        <v>_</v>
      </c>
      <c r="T185" s="152" t="str">
        <f>+VLOOKUP($L185,Data_Validation!$A:$D,1,0)</f>
        <v>355</v>
      </c>
      <c r="U185" s="152" t="str">
        <f>+VLOOKUP($L185,Data_Validation!$A:$D,3,0)</f>
        <v>Bilan</v>
      </c>
      <c r="V185" s="152" t="str">
        <f>+VLOOKUP($L185,Data_Validation!$A:$D,4,0)</f>
        <v>Équipements Service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1130</v>
      </c>
      <c r="B186" s="718" t="s">
        <v>467</v>
      </c>
      <c r="C186" s="720">
        <v>-758852.96</v>
      </c>
      <c r="D186" s="720">
        <v>-10750</v>
      </c>
      <c r="E186" s="720">
        <v>-769602.96</v>
      </c>
      <c r="F186" s="718" t="s">
        <v>2227</v>
      </c>
      <c r="G186" s="718" t="s">
        <v>467</v>
      </c>
      <c r="H186" s="673" t="s">
        <v>2971</v>
      </c>
      <c r="I186" s="672"/>
      <c r="J186" s="672"/>
      <c r="K186" s="672"/>
      <c r="L186" s="149" t="str">
        <f t="shared" si="10"/>
        <v>356</v>
      </c>
      <c r="M186" s="150" t="str">
        <f t="shared" si="11"/>
        <v>AMORT.CUM. AMELIORATION LOCATIVE</v>
      </c>
      <c r="N186" s="151">
        <f>+IF(OR($Q186=Parametres!$G$2,$Q186=Parametres!$G$3),I186,C186)</f>
        <v>-758852.96</v>
      </c>
      <c r="O186" s="501">
        <f>+IF(OR($Q186=Parametres!$G$2,$Q186=Parametres!$G$3),J186,D186)</f>
        <v>-10750</v>
      </c>
      <c r="P186" s="151">
        <f>+IF(OR($Q186=Parametres!$G$2,$Q186=Parametres!$G$3),K186,E186)</f>
        <v>-769602.96</v>
      </c>
      <c r="Q186" s="150" t="str">
        <f t="shared" si="12"/>
        <v>3-Passifs</v>
      </c>
      <c r="R186" s="149" t="str">
        <f t="shared" si="13"/>
        <v>356</v>
      </c>
      <c r="S186" s="150" t="str">
        <f t="shared" si="14"/>
        <v>_</v>
      </c>
      <c r="T186" s="152" t="str">
        <f>+VLOOKUP($L186,Data_Validation!$A:$D,1,0)</f>
        <v>356</v>
      </c>
      <c r="U186" s="152" t="str">
        <f>+VLOOKUP($L186,Data_Validation!$A:$D,3,0)</f>
        <v>Bilan</v>
      </c>
      <c r="V186" s="152" t="str">
        <f>+VLOOKUP($L186,Data_Validation!$A:$D,4,0)</f>
        <v>Améliorations Locatives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601</v>
      </c>
      <c r="B187" s="718" t="s">
        <v>356</v>
      </c>
      <c r="C187" s="720">
        <v>-4390685.5999999996</v>
      </c>
      <c r="D187" s="720">
        <v>0</v>
      </c>
      <c r="E187" s="720">
        <v>-4390685.5999999996</v>
      </c>
      <c r="F187" s="718" t="s">
        <v>2228</v>
      </c>
      <c r="G187" s="718" t="s">
        <v>356</v>
      </c>
      <c r="H187" s="607" t="s">
        <v>2971</v>
      </c>
      <c r="I187" s="153"/>
      <c r="J187" s="153"/>
      <c r="K187" s="153"/>
      <c r="L187" s="149" t="str">
        <f t="shared" si="10"/>
        <v>360</v>
      </c>
      <c r="M187" s="150" t="str">
        <f t="shared" si="11"/>
        <v>ACTIONS ORDINAIRES</v>
      </c>
      <c r="N187" s="151">
        <f>+IF(OR($Q187=Parametres!$G$2,$Q187=Parametres!$G$3),I187,C187)</f>
        <v>-4390685.5999999996</v>
      </c>
      <c r="O187" s="151">
        <f>+IF(OR($Q187=Parametres!$G$2,$Q187=Parametres!$G$3),J187,D187)</f>
        <v>0</v>
      </c>
      <c r="P187" s="151">
        <f>+IF(OR($Q187=Parametres!$G$2,$Q187=Parametres!$G$3),K187,E187)</f>
        <v>-4390685.5999999996</v>
      </c>
      <c r="Q187" s="150" t="str">
        <f t="shared" si="12"/>
        <v>4-Valeur nette</v>
      </c>
      <c r="R187" s="149" t="str">
        <f t="shared" si="13"/>
        <v>360</v>
      </c>
      <c r="S187" s="150" t="str">
        <f t="shared" si="14"/>
        <v>_</v>
      </c>
      <c r="T187" s="152" t="str">
        <f>+VLOOKUP($L187,Data_Validation!$A:$D,1,0)</f>
        <v>360</v>
      </c>
      <c r="U187" s="152" t="str">
        <f>+VLOOKUP($L187,Data_Validation!$A:$D,3,0)</f>
        <v>Bilan</v>
      </c>
      <c r="V187" s="152" t="str">
        <f>+VLOOKUP($L187,Data_Validation!$A:$D,4,0)</f>
        <v>Capital Actions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602</v>
      </c>
      <c r="B188" s="718" t="s">
        <v>357</v>
      </c>
      <c r="C188" s="720">
        <v>-3866488.74</v>
      </c>
      <c r="D188" s="720">
        <v>0</v>
      </c>
      <c r="E188" s="720">
        <v>-3866488.74</v>
      </c>
      <c r="F188" s="718" t="s">
        <v>2228</v>
      </c>
      <c r="G188" s="718" t="s">
        <v>357</v>
      </c>
      <c r="H188" s="607" t="s">
        <v>2971</v>
      </c>
      <c r="I188" s="153"/>
      <c r="J188" s="153"/>
      <c r="K188" s="153"/>
      <c r="L188" s="149" t="str">
        <f t="shared" si="10"/>
        <v>370</v>
      </c>
      <c r="M188" s="150" t="str">
        <f t="shared" si="11"/>
        <v>BENEFICES NON REPARTIS</v>
      </c>
      <c r="N188" s="151">
        <f>+IF(OR($Q188=Parametres!$G$2,$Q188=Parametres!$G$3),I188,C188)</f>
        <v>-3866488.74</v>
      </c>
      <c r="O188" s="506">
        <f>+IF(OR($Q188=Parametres!$G$2,$Q188=Parametres!$G$3),J188,D188)</f>
        <v>0</v>
      </c>
      <c r="P188" s="151">
        <f>+IF(OR($Q188=Parametres!$G$2,$Q188=Parametres!$G$3),K188,E188)</f>
        <v>-3866488.74</v>
      </c>
      <c r="Q188" s="150" t="str">
        <f t="shared" si="12"/>
        <v>4-Valeur nette</v>
      </c>
      <c r="R188" s="149" t="str">
        <f t="shared" si="13"/>
        <v>370</v>
      </c>
      <c r="S188" s="150" t="str">
        <f t="shared" si="14"/>
        <v>_</v>
      </c>
      <c r="T188" s="152" t="str">
        <f>+VLOOKUP($L188,Data_Validation!$A:$D,1,0)</f>
        <v>370</v>
      </c>
      <c r="U188" s="152" t="str">
        <f>+VLOOKUP($L188,Data_Validation!$A:$D,3,0)</f>
        <v>Bilan</v>
      </c>
      <c r="V188" s="152" t="str">
        <f>+VLOOKUP($L188,Data_Validation!$A:$D,4,0)</f>
        <v>Bénéfices non répartis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2341</v>
      </c>
      <c r="B189" s="718" t="s">
        <v>2342</v>
      </c>
      <c r="C189" s="720">
        <v>-96003.69</v>
      </c>
      <c r="D189" s="720">
        <v>-206876.24</v>
      </c>
      <c r="E189" s="720">
        <v>-302879.93</v>
      </c>
      <c r="F189" s="718" t="s">
        <v>2007</v>
      </c>
      <c r="G189" s="718" t="s">
        <v>2342</v>
      </c>
      <c r="H189" s="673" t="s">
        <v>2971</v>
      </c>
      <c r="I189" s="673"/>
      <c r="J189" s="673"/>
      <c r="K189" s="673"/>
      <c r="L189" s="149" t="str">
        <f t="shared" si="10"/>
        <v>402B</v>
      </c>
      <c r="M189" s="150" t="str">
        <f t="shared" si="11"/>
        <v>VTES -VTE - IX XDRIVE 50</v>
      </c>
      <c r="N189" s="151">
        <f>+IF(OR($Q189=Parametres!$G$2,$Q189=Parametres!$G$3),I189,C189)</f>
        <v>-96003.69</v>
      </c>
      <c r="O189" s="151">
        <f>+IF(OR($Q189=Parametres!$G$2,$Q189=Parametres!$G$3),J189,D189)</f>
        <v>-206876.24</v>
      </c>
      <c r="P189" s="151">
        <f>+IF(OR($Q189=Parametres!$G$2,$Q189=Parametres!$G$3),K189,E189)</f>
        <v>-302879.93</v>
      </c>
      <c r="Q189" s="150" t="str">
        <f t="shared" si="12"/>
        <v>5-Ventes</v>
      </c>
      <c r="R189" s="149" t="str">
        <f t="shared" si="13"/>
        <v>402B</v>
      </c>
      <c r="S189" s="150" t="str">
        <f t="shared" si="14"/>
        <v>_</v>
      </c>
      <c r="T189" s="152" t="str">
        <f>+VLOOKUP($L189,Data_Validation!$A:$D,1,0)</f>
        <v>402B</v>
      </c>
      <c r="U189" s="152" t="str">
        <f>+VLOOKUP($L189,Data_Validation!$A:$D,3,0)</f>
        <v>Véhicules neufs</v>
      </c>
      <c r="V189" s="152" t="str">
        <f>+VLOOKUP($L189,Data_Validation!$A:$D,4,0)</f>
        <v>Camions détail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2343</v>
      </c>
      <c r="B190" s="718" t="s">
        <v>2344</v>
      </c>
      <c r="C190" s="720">
        <v>-84886.5</v>
      </c>
      <c r="D190" s="720">
        <v>-185502.95</v>
      </c>
      <c r="E190" s="720">
        <v>-270389.45</v>
      </c>
      <c r="F190" s="718" t="s">
        <v>2007</v>
      </c>
      <c r="G190" s="718" t="s">
        <v>2344</v>
      </c>
      <c r="H190" s="673" t="s">
        <v>2971</v>
      </c>
      <c r="I190" s="672"/>
      <c r="J190" s="672"/>
      <c r="K190" s="672"/>
      <c r="L190" s="149" t="str">
        <f t="shared" si="10"/>
        <v>403I</v>
      </c>
      <c r="M190" s="150" t="str">
        <f t="shared" si="11"/>
        <v>VTES -i4 M50i XDRIVE GRAN COUPE</v>
      </c>
      <c r="N190" s="151">
        <f>+IF(OR($Q190=Parametres!$G$2,$Q190=Parametres!$G$3),I190,C190)</f>
        <v>-84886.5</v>
      </c>
      <c r="O190" s="151">
        <f>+IF(OR($Q190=Parametres!$G$2,$Q190=Parametres!$G$3),J190,D190)</f>
        <v>-185502.95</v>
      </c>
      <c r="P190" s="151">
        <f>+IF(OR($Q190=Parametres!$G$2,$Q190=Parametres!$G$3),K190,E190)</f>
        <v>-270389.45</v>
      </c>
      <c r="Q190" s="150" t="str">
        <f t="shared" si="12"/>
        <v>5-Ventes</v>
      </c>
      <c r="R190" s="149" t="str">
        <f t="shared" si="13"/>
        <v>403I</v>
      </c>
      <c r="S190" s="150" t="str">
        <f t="shared" si="14"/>
        <v>_</v>
      </c>
      <c r="T190" s="152" t="str">
        <f>+VLOOKUP($L190,Data_Validation!$A:$D,1,0)</f>
        <v>403I</v>
      </c>
      <c r="U190" s="152" t="str">
        <f>+VLOOKUP($L190,Data_Validation!$A:$D,3,0)</f>
        <v>Véhicules neufs</v>
      </c>
      <c r="V190" s="152" t="str">
        <f>+VLOOKUP($L190,Data_Validation!$A:$D,4,0)</f>
        <v>Autos détail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2345</v>
      </c>
      <c r="B191" s="718" t="s">
        <v>2346</v>
      </c>
      <c r="C191" s="720">
        <v>-63350.5</v>
      </c>
      <c r="D191" s="720">
        <v>0</v>
      </c>
      <c r="E191" s="720">
        <v>-63350.5</v>
      </c>
      <c r="F191" s="718" t="s">
        <v>2007</v>
      </c>
      <c r="G191" s="718" t="s">
        <v>2346</v>
      </c>
      <c r="H191" s="673" t="s">
        <v>2971</v>
      </c>
      <c r="I191" s="673"/>
      <c r="J191" s="673"/>
      <c r="K191" s="673"/>
      <c r="L191" s="149" t="str">
        <f t="shared" si="10"/>
        <v>404I</v>
      </c>
      <c r="M191" s="150" t="str">
        <f t="shared" si="11"/>
        <v>VTES -i4 eDRIVE40 GRAN COUPE</v>
      </c>
      <c r="N191" s="151">
        <f>+IF(OR($Q191=Parametres!$G$2,$Q191=Parametres!$G$3),I191,C191)</f>
        <v>-63350.5</v>
      </c>
      <c r="O191" s="504">
        <f>+IF(OR($Q191=Parametres!$G$2,$Q191=Parametres!$G$3),J191,D191)</f>
        <v>0</v>
      </c>
      <c r="P191" s="151">
        <f>+IF(OR($Q191=Parametres!$G$2,$Q191=Parametres!$G$3),K191,E191)</f>
        <v>-63350.5</v>
      </c>
      <c r="Q191" s="150" t="str">
        <f t="shared" si="12"/>
        <v>5-Ventes</v>
      </c>
      <c r="R191" s="149" t="str">
        <f t="shared" si="13"/>
        <v>404I</v>
      </c>
      <c r="S191" s="150" t="str">
        <f t="shared" si="14"/>
        <v>_</v>
      </c>
      <c r="T191" s="152" t="str">
        <f>+VLOOKUP($L191,Data_Validation!$A:$D,1,0)</f>
        <v>404I</v>
      </c>
      <c r="U191" s="152" t="str">
        <f>+VLOOKUP($L191,Data_Validation!$A:$D,3,0)</f>
        <v>Véhicules neufs</v>
      </c>
      <c r="V191" s="152" t="str">
        <f>+VLOOKUP($L191,Data_Validation!$A:$D,4,0)</f>
        <v>Autos détail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2905</v>
      </c>
      <c r="B192" s="718" t="s">
        <v>2906</v>
      </c>
      <c r="C192" s="720">
        <v>-73322</v>
      </c>
      <c r="D192" s="720">
        <v>-81498.5</v>
      </c>
      <c r="E192" s="720">
        <v>-154820.5</v>
      </c>
      <c r="F192" s="718" t="s">
        <v>2007</v>
      </c>
      <c r="G192" s="718" t="s">
        <v>2906</v>
      </c>
      <c r="H192" s="607" t="s">
        <v>2971</v>
      </c>
      <c r="I192" s="609"/>
      <c r="J192" s="609"/>
      <c r="K192" s="609"/>
      <c r="L192" s="149" t="str">
        <f t="shared" si="10"/>
        <v>404J</v>
      </c>
      <c r="M192" s="150" t="str">
        <f t="shared" si="11"/>
        <v>VTES -VTE - i4 xDRIVE40</v>
      </c>
      <c r="N192" s="151">
        <f>+IF(OR($Q192=Parametres!$G$2,$Q192=Parametres!$G$3),I192,C192)</f>
        <v>-73322</v>
      </c>
      <c r="O192" s="151">
        <f>+IF(OR($Q192=Parametres!$G$2,$Q192=Parametres!$G$3),J192,D192)</f>
        <v>-81498.5</v>
      </c>
      <c r="P192" s="151">
        <f>+IF(OR($Q192=Parametres!$G$2,$Q192=Parametres!$G$3),K192,E192)</f>
        <v>-154820.5</v>
      </c>
      <c r="Q192" s="150" t="str">
        <f t="shared" si="12"/>
        <v>5-Ventes</v>
      </c>
      <c r="R192" s="149" t="str">
        <f t="shared" si="13"/>
        <v>404J</v>
      </c>
      <c r="S192" s="150" t="str">
        <f t="shared" si="14"/>
        <v>_</v>
      </c>
      <c r="T192" s="152" t="str">
        <f>+VLOOKUP($L192,Data_Validation!$A:$D,1,0)</f>
        <v>404J</v>
      </c>
      <c r="U192" s="152" t="str">
        <f>+VLOOKUP($L192,Data_Validation!$A:$D,3,0)</f>
        <v>Véhicules neufs</v>
      </c>
      <c r="V192" s="152" t="str">
        <f>+VLOOKUP($L192,Data_Validation!$A:$D,4,0)</f>
        <v>Autos détail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2052</v>
      </c>
      <c r="B193" s="718" t="s">
        <v>2053</v>
      </c>
      <c r="C193" s="720">
        <v>-151248.5</v>
      </c>
      <c r="D193" s="720">
        <v>0</v>
      </c>
      <c r="E193" s="720">
        <v>-151248.5</v>
      </c>
      <c r="F193" s="718" t="s">
        <v>2007</v>
      </c>
      <c r="G193" s="718" t="s">
        <v>2053</v>
      </c>
      <c r="H193" s="607" t="s">
        <v>2971</v>
      </c>
      <c r="I193" s="608"/>
      <c r="J193" s="608"/>
      <c r="K193" s="608"/>
      <c r="L193" s="149" t="str">
        <f t="shared" si="10"/>
        <v>405G</v>
      </c>
      <c r="M193" s="150" t="str">
        <f t="shared" si="11"/>
        <v>VTE - M4 COUPE</v>
      </c>
      <c r="N193" s="151">
        <f>+IF(OR($Q193=Parametres!$G$2,$Q193=Parametres!$G$3),I193,C193)</f>
        <v>-151248.5</v>
      </c>
      <c r="O193" s="151">
        <f>+IF(OR($Q193=Parametres!$G$2,$Q193=Parametres!$G$3),J193,D193)</f>
        <v>0</v>
      </c>
      <c r="P193" s="151">
        <f>+IF(OR($Q193=Parametres!$G$2,$Q193=Parametres!$G$3),K193,E193)</f>
        <v>-151248.5</v>
      </c>
      <c r="Q193" s="150" t="str">
        <f t="shared" si="12"/>
        <v>5-Ventes</v>
      </c>
      <c r="R193" s="149" t="str">
        <f t="shared" si="13"/>
        <v>405G</v>
      </c>
      <c r="S193" s="150" t="str">
        <f t="shared" si="14"/>
        <v>_</v>
      </c>
      <c r="T193" s="152" t="str">
        <f>+VLOOKUP($L193,Data_Validation!$A:$D,1,0)</f>
        <v>405G</v>
      </c>
      <c r="U193" s="152" t="str">
        <f>+VLOOKUP($L193,Data_Validation!$A:$D,3,0)</f>
        <v>Véhicules neufs</v>
      </c>
      <c r="V193" s="152" t="str">
        <f>+VLOOKUP($L193,Data_Validation!$A:$D,4,0)</f>
        <v>Autos détail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1983</v>
      </c>
      <c r="B194" s="718" t="s">
        <v>1984</v>
      </c>
      <c r="C194" s="720">
        <v>-238479.65</v>
      </c>
      <c r="D194" s="720">
        <v>0</v>
      </c>
      <c r="E194" s="720">
        <v>-238479.65</v>
      </c>
      <c r="F194" s="718" t="s">
        <v>2007</v>
      </c>
      <c r="G194" s="718" t="s">
        <v>1984</v>
      </c>
      <c r="H194" s="673" t="s">
        <v>2971</v>
      </c>
      <c r="I194" s="672"/>
      <c r="J194" s="672"/>
      <c r="K194" s="672"/>
      <c r="L194" s="149" t="str">
        <f t="shared" ref="L194:L257" si="15">+B194</f>
        <v>405K</v>
      </c>
      <c r="M194" s="150" t="str">
        <f t="shared" ref="M194:M257" si="16">+A194</f>
        <v>VTES -M440I XDR COUPE</v>
      </c>
      <c r="N194" s="151">
        <f>+IF(OR($Q194=Parametres!$G$2,$Q194=Parametres!$G$3),I194,C194)</f>
        <v>-238479.65</v>
      </c>
      <c r="O194" s="151">
        <f>+IF(OR($Q194=Parametres!$G$2,$Q194=Parametres!$G$3),J194,D194)</f>
        <v>0</v>
      </c>
      <c r="P194" s="151">
        <f>+IF(OR($Q194=Parametres!$G$2,$Q194=Parametres!$G$3),K194,E194)</f>
        <v>-238479.65</v>
      </c>
      <c r="Q194" s="150" t="str">
        <f t="shared" ref="Q194:Q257" si="17">+F194</f>
        <v>5-Ventes</v>
      </c>
      <c r="R194" s="149" t="str">
        <f t="shared" ref="R194:R257" si="18">+G194</f>
        <v>405K</v>
      </c>
      <c r="S194" s="150" t="str">
        <f t="shared" ref="S194:S257" si="19">+H194</f>
        <v>_</v>
      </c>
      <c r="T194" s="152" t="str">
        <f>+VLOOKUP($L194,Data_Validation!$A:$D,1,0)</f>
        <v>405K</v>
      </c>
      <c r="U194" s="152" t="str">
        <f>+VLOOKUP($L194,Data_Validation!$A:$D,3,0)</f>
        <v>Véhicules neufs</v>
      </c>
      <c r="V194" s="152" t="str">
        <f>+VLOOKUP($L194,Data_Validation!$A:$D,4,0)</f>
        <v>Autos détail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1373</v>
      </c>
      <c r="B195" s="718" t="s">
        <v>610</v>
      </c>
      <c r="C195" s="720">
        <v>-71130.86</v>
      </c>
      <c r="D195" s="720">
        <v>0</v>
      </c>
      <c r="E195" s="720">
        <v>-71130.86</v>
      </c>
      <c r="F195" s="718" t="s">
        <v>2007</v>
      </c>
      <c r="G195" s="718" t="s">
        <v>610</v>
      </c>
      <c r="H195" s="673" t="s">
        <v>2971</v>
      </c>
      <c r="I195" s="672"/>
      <c r="J195" s="672"/>
      <c r="K195" s="672"/>
      <c r="L195" s="149" t="str">
        <f t="shared" si="15"/>
        <v>406G</v>
      </c>
      <c r="M195" s="150" t="str">
        <f t="shared" si="16"/>
        <v>VTES -VTE - M240I XDRIVE COUPE</v>
      </c>
      <c r="N195" s="151">
        <f>+IF(OR($Q195=Parametres!$G$2,$Q195=Parametres!$G$3),I195,C195)</f>
        <v>-71130.86</v>
      </c>
      <c r="O195" s="151">
        <f>+IF(OR($Q195=Parametres!$G$2,$Q195=Parametres!$G$3),J195,D195)</f>
        <v>0</v>
      </c>
      <c r="P195" s="151">
        <f>+IF(OR($Q195=Parametres!$G$2,$Q195=Parametres!$G$3),K195,E195)</f>
        <v>-71130.86</v>
      </c>
      <c r="Q195" s="150" t="str">
        <f t="shared" si="17"/>
        <v>5-Ventes</v>
      </c>
      <c r="R195" s="149" t="str">
        <f t="shared" si="18"/>
        <v>406G</v>
      </c>
      <c r="S195" s="150" t="str">
        <f t="shared" si="19"/>
        <v>_</v>
      </c>
      <c r="T195" s="152" t="str">
        <f>+VLOOKUP($L195,Data_Validation!$A:$D,1,0)</f>
        <v>406G</v>
      </c>
      <c r="U195" s="152" t="str">
        <f>+VLOOKUP($L195,Data_Validation!$A:$D,3,0)</f>
        <v>Véhicules neufs</v>
      </c>
      <c r="V195" s="152" t="str">
        <f>+VLOOKUP($L195,Data_Validation!$A:$D,4,0)</f>
        <v>Autos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2030</v>
      </c>
      <c r="B196" s="718" t="s">
        <v>2031</v>
      </c>
      <c r="C196" s="720">
        <v>-108508.5</v>
      </c>
      <c r="D196" s="720">
        <v>-126478.5</v>
      </c>
      <c r="E196" s="720">
        <v>-234987</v>
      </c>
      <c r="F196" s="718" t="s">
        <v>2007</v>
      </c>
      <c r="G196" s="718" t="s">
        <v>2031</v>
      </c>
      <c r="H196" s="673" t="s">
        <v>2971</v>
      </c>
      <c r="I196" s="672"/>
      <c r="J196" s="672"/>
      <c r="K196" s="672"/>
      <c r="L196" s="149" t="str">
        <f t="shared" si="15"/>
        <v>407C</v>
      </c>
      <c r="M196" s="150" t="str">
        <f t="shared" si="16"/>
        <v>VTES -M3 COMPETITION</v>
      </c>
      <c r="N196" s="151">
        <f>+IF(OR($Q196=Parametres!$G$2,$Q196=Parametres!$G$3),I196,C196)</f>
        <v>-108508.5</v>
      </c>
      <c r="O196" s="151">
        <f>+IF(OR($Q196=Parametres!$G$2,$Q196=Parametres!$G$3),J196,D196)</f>
        <v>-126478.5</v>
      </c>
      <c r="P196" s="151">
        <f>+IF(OR($Q196=Parametres!$G$2,$Q196=Parametres!$G$3),K196,E196)</f>
        <v>-234987</v>
      </c>
      <c r="Q196" s="150" t="str">
        <f t="shared" si="17"/>
        <v>5-Ventes</v>
      </c>
      <c r="R196" s="149" t="str">
        <f t="shared" si="18"/>
        <v>407C</v>
      </c>
      <c r="S196" s="150" t="str">
        <f t="shared" si="19"/>
        <v>_</v>
      </c>
      <c r="T196" s="152" t="str">
        <f>+VLOOKUP($L196,Data_Validation!$A:$D,1,0)</f>
        <v>407C</v>
      </c>
      <c r="U196" s="152" t="str">
        <f>+VLOOKUP($L196,Data_Validation!$A:$D,3,0)</f>
        <v>Véhicules neufs</v>
      </c>
      <c r="V196" s="152" t="str">
        <f>+VLOOKUP($L196,Data_Validation!$A:$D,4,0)</f>
        <v>Autos détail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2877</v>
      </c>
      <c r="B197" s="718" t="s">
        <v>2878</v>
      </c>
      <c r="C197" s="720">
        <v>-63124.49</v>
      </c>
      <c r="D197" s="720">
        <v>0</v>
      </c>
      <c r="E197" s="720">
        <v>-63124.49</v>
      </c>
      <c r="F197" s="718" t="s">
        <v>2007</v>
      </c>
      <c r="G197" s="718" t="s">
        <v>2878</v>
      </c>
      <c r="H197" s="673" t="s">
        <v>2971</v>
      </c>
      <c r="I197" s="672"/>
      <c r="J197" s="672"/>
      <c r="K197" s="672"/>
      <c r="L197" s="149" t="str">
        <f t="shared" si="15"/>
        <v>409</v>
      </c>
      <c r="M197" s="150" t="str">
        <f t="shared" si="16"/>
        <v>X2 XDRIVE28I</v>
      </c>
      <c r="N197" s="151">
        <f>+IF(OR($Q197=Parametres!$G$2,$Q197=Parametres!$G$3),I197,C197)</f>
        <v>-63124.49</v>
      </c>
      <c r="O197" s="151">
        <f>+IF(OR($Q197=Parametres!$G$2,$Q197=Parametres!$G$3),J197,D197)</f>
        <v>0</v>
      </c>
      <c r="P197" s="151">
        <f>+IF(OR($Q197=Parametres!$G$2,$Q197=Parametres!$G$3),K197,E197)</f>
        <v>-63124.49</v>
      </c>
      <c r="Q197" s="150" t="str">
        <f t="shared" si="17"/>
        <v>5-Ventes</v>
      </c>
      <c r="R197" s="149" t="str">
        <f t="shared" si="18"/>
        <v>409</v>
      </c>
      <c r="S197" s="150" t="str">
        <f t="shared" si="19"/>
        <v>_</v>
      </c>
      <c r="T197" s="152" t="str">
        <f>+VLOOKUP($L197,Data_Validation!$A:$D,1,0)</f>
        <v>409</v>
      </c>
      <c r="U197" s="152" t="str">
        <f>+VLOOKUP($L197,Data_Validation!$A:$D,3,0)</f>
        <v>Véhicules neufs</v>
      </c>
      <c r="V197" s="152" t="str">
        <f>+VLOOKUP($L197,Data_Validation!$A:$D,4,0)</f>
        <v>Camions détail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2972</v>
      </c>
      <c r="B198" s="718" t="s">
        <v>2973</v>
      </c>
      <c r="C198" s="720">
        <v>-252184.5</v>
      </c>
      <c r="D198" s="720">
        <v>0</v>
      </c>
      <c r="E198" s="720">
        <v>-252184.5</v>
      </c>
      <c r="F198" s="718" t="s">
        <v>2007</v>
      </c>
      <c r="G198" s="718" t="s">
        <v>2973</v>
      </c>
      <c r="H198" s="673" t="s">
        <v>2971</v>
      </c>
      <c r="I198" s="672"/>
      <c r="J198" s="672"/>
      <c r="K198" s="672"/>
      <c r="L198" s="149" t="str">
        <f t="shared" si="15"/>
        <v>409C</v>
      </c>
      <c r="M198" s="150" t="str">
        <f t="shared" si="16"/>
        <v>X3 M50 XDRIVE</v>
      </c>
      <c r="N198" s="151">
        <f>+IF(OR($Q198=Parametres!$G$2,$Q198=Parametres!$G$3),I198,C198)</f>
        <v>-252184.5</v>
      </c>
      <c r="O198" s="151">
        <f>+IF(OR($Q198=Parametres!$G$2,$Q198=Parametres!$G$3),J198,D198)</f>
        <v>0</v>
      </c>
      <c r="P198" s="151">
        <f>+IF(OR($Q198=Parametres!$G$2,$Q198=Parametres!$G$3),K198,E198)</f>
        <v>-252184.5</v>
      </c>
      <c r="Q198" s="150" t="str">
        <f t="shared" si="17"/>
        <v>5-Ventes</v>
      </c>
      <c r="R198" s="149" t="str">
        <f t="shared" si="18"/>
        <v>409C</v>
      </c>
      <c r="S198" s="150" t="str">
        <f t="shared" si="19"/>
        <v>_</v>
      </c>
      <c r="T198" s="152" t="str">
        <f>+VLOOKUP($L198,Data_Validation!$A:$D,1,0)</f>
        <v>409C</v>
      </c>
      <c r="U198" s="152" t="str">
        <f>+VLOOKUP($L198,Data_Validation!$A:$D,3,0)</f>
        <v>Véhicules neufs</v>
      </c>
      <c r="V198" s="152" t="str">
        <f>+VLOOKUP($L198,Data_Validation!$A:$D,4,0)</f>
        <v>Camions détail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1089</v>
      </c>
      <c r="B199" s="718" t="s">
        <v>612</v>
      </c>
      <c r="C199" s="720">
        <v>-66798.5</v>
      </c>
      <c r="D199" s="720">
        <v>0</v>
      </c>
      <c r="E199" s="720">
        <v>-66798.5</v>
      </c>
      <c r="F199" s="718" t="s">
        <v>2007</v>
      </c>
      <c r="G199" s="718" t="s">
        <v>612</v>
      </c>
      <c r="H199" s="666" t="s">
        <v>2971</v>
      </c>
      <c r="I199" s="665"/>
      <c r="J199" s="665"/>
      <c r="K199" s="665"/>
      <c r="L199" s="149" t="str">
        <f t="shared" si="15"/>
        <v>411C</v>
      </c>
      <c r="M199" s="150" t="str">
        <f t="shared" si="16"/>
        <v>VTES -VTE - 330I XDRIVE SEDAN</v>
      </c>
      <c r="N199" s="151">
        <f>+IF(OR($Q199=Parametres!$G$2,$Q199=Parametres!$G$3),I199,C199)</f>
        <v>-66798.5</v>
      </c>
      <c r="O199" s="151">
        <f>+IF(OR($Q199=Parametres!$G$2,$Q199=Parametres!$G$3),J199,D199)</f>
        <v>0</v>
      </c>
      <c r="P199" s="151">
        <f>+IF(OR($Q199=Parametres!$G$2,$Q199=Parametres!$G$3),K199,E199)</f>
        <v>-66798.5</v>
      </c>
      <c r="Q199" s="150" t="str">
        <f t="shared" si="17"/>
        <v>5-Ventes</v>
      </c>
      <c r="R199" s="149" t="str">
        <f t="shared" si="18"/>
        <v>411C</v>
      </c>
      <c r="S199" s="150" t="str">
        <f t="shared" si="19"/>
        <v>_</v>
      </c>
      <c r="T199" s="152" t="str">
        <f>+VLOOKUP($L199,Data_Validation!$A:$D,1,0)</f>
        <v>411C</v>
      </c>
      <c r="U199" s="152" t="str">
        <f>+VLOOKUP($L199,Data_Validation!$A:$D,3,0)</f>
        <v>Véhicules neufs</v>
      </c>
      <c r="V199" s="152" t="str">
        <f>+VLOOKUP($L199,Data_Validation!$A:$D,4,0)</f>
        <v>Autos détail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1979</v>
      </c>
      <c r="B200" s="718" t="s">
        <v>1980</v>
      </c>
      <c r="C200" s="720">
        <v>-86373.5</v>
      </c>
      <c r="D200" s="720">
        <v>-84998.5</v>
      </c>
      <c r="E200" s="720">
        <v>-171372</v>
      </c>
      <c r="F200" s="718" t="s">
        <v>2007</v>
      </c>
      <c r="G200" s="718" t="s">
        <v>1980</v>
      </c>
      <c r="H200" s="673" t="s">
        <v>2971</v>
      </c>
      <c r="I200" s="672"/>
      <c r="J200" s="672"/>
      <c r="K200" s="672"/>
      <c r="L200" s="149" t="str">
        <f t="shared" si="15"/>
        <v>412C</v>
      </c>
      <c r="M200" s="150" t="str">
        <f t="shared" si="16"/>
        <v>M340I XDRIVE</v>
      </c>
      <c r="N200" s="151">
        <f>+IF(OR($Q200=Parametres!$G$2,$Q200=Parametres!$G$3),I200,C200)</f>
        <v>-86373.5</v>
      </c>
      <c r="O200" s="151">
        <f>+IF(OR($Q200=Parametres!$G$2,$Q200=Parametres!$G$3),J200,D200)</f>
        <v>-84998.5</v>
      </c>
      <c r="P200" s="151">
        <f>+IF(OR($Q200=Parametres!$G$2,$Q200=Parametres!$G$3),K200,E200)</f>
        <v>-171372</v>
      </c>
      <c r="Q200" s="150" t="str">
        <f t="shared" si="17"/>
        <v>5-Ventes</v>
      </c>
      <c r="R200" s="149" t="str">
        <f t="shared" si="18"/>
        <v>412C</v>
      </c>
      <c r="S200" s="150" t="str">
        <f t="shared" si="19"/>
        <v>_</v>
      </c>
      <c r="T200" s="152" t="str">
        <f>+VLOOKUP($L200,Data_Validation!$A:$D,1,0)</f>
        <v>412C</v>
      </c>
      <c r="U200" s="152" t="str">
        <f>+VLOOKUP($L200,Data_Validation!$A:$D,3,0)</f>
        <v>Véhicules neufs</v>
      </c>
      <c r="V200" s="152" t="str">
        <f>+VLOOKUP($L200,Data_Validation!$A:$D,4,0)</f>
        <v>Autos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2496</v>
      </c>
      <c r="B201" s="718" t="s">
        <v>2497</v>
      </c>
      <c r="C201" s="720">
        <v>-122189.22</v>
      </c>
      <c r="D201" s="720">
        <v>0</v>
      </c>
      <c r="E201" s="720">
        <v>-122189.22</v>
      </c>
      <c r="F201" s="718" t="s">
        <v>2007</v>
      </c>
      <c r="G201" s="718" t="s">
        <v>2497</v>
      </c>
      <c r="H201" s="673" t="s">
        <v>2971</v>
      </c>
      <c r="I201" s="672"/>
      <c r="J201" s="672"/>
      <c r="K201" s="672"/>
      <c r="L201" s="149" t="str">
        <f t="shared" si="15"/>
        <v>415B</v>
      </c>
      <c r="M201" s="150" t="str">
        <f t="shared" si="16"/>
        <v>VTES -VTE - i7 xDRIVE60</v>
      </c>
      <c r="N201" s="151">
        <f>+IF(OR($Q201=Parametres!$G$2,$Q201=Parametres!$G$3),I201,C201)</f>
        <v>-122189.22</v>
      </c>
      <c r="O201" s="151">
        <f>+IF(OR($Q201=Parametres!$G$2,$Q201=Parametres!$G$3),J201,D201)</f>
        <v>0</v>
      </c>
      <c r="P201" s="151">
        <f>+IF(OR($Q201=Parametres!$G$2,$Q201=Parametres!$G$3),K201,E201)</f>
        <v>-122189.22</v>
      </c>
      <c r="Q201" s="150" t="str">
        <f t="shared" si="17"/>
        <v>5-Ventes</v>
      </c>
      <c r="R201" s="149" t="str">
        <f t="shared" si="18"/>
        <v>415B</v>
      </c>
      <c r="S201" s="150" t="str">
        <f t="shared" si="19"/>
        <v>_</v>
      </c>
      <c r="T201" s="152" t="str">
        <f>+VLOOKUP($L201,Data_Validation!$A:$D,1,0)</f>
        <v>415B</v>
      </c>
      <c r="U201" s="152" t="str">
        <f>+VLOOKUP($L201,Data_Validation!$A:$D,3,0)</f>
        <v>Véhicules neufs</v>
      </c>
      <c r="V201" s="152" t="str">
        <f>+VLOOKUP($L201,Data_Validation!$A:$D,4,0)</f>
        <v>Autos détail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1081</v>
      </c>
      <c r="B202" s="718" t="s">
        <v>410</v>
      </c>
      <c r="C202" s="720">
        <v>-756246.92</v>
      </c>
      <c r="D202" s="720">
        <v>-234672.87</v>
      </c>
      <c r="E202" s="720">
        <v>-990919.79</v>
      </c>
      <c r="F202" s="718" t="s">
        <v>2007</v>
      </c>
      <c r="G202" s="718" t="s">
        <v>410</v>
      </c>
      <c r="H202" s="666" t="s">
        <v>2971</v>
      </c>
      <c r="I202" s="665"/>
      <c r="J202" s="665"/>
      <c r="K202" s="665"/>
      <c r="L202" s="149" t="str">
        <f t="shared" si="15"/>
        <v>416</v>
      </c>
      <c r="M202" s="150" t="str">
        <f t="shared" si="16"/>
        <v>VTE - X1 XDRIVE 28I</v>
      </c>
      <c r="N202" s="151">
        <f>+IF(OR($Q202=Parametres!$G$2,$Q202=Parametres!$G$3),I202,C202)</f>
        <v>-756246.92</v>
      </c>
      <c r="O202" s="151">
        <f>+IF(OR($Q202=Parametres!$G$2,$Q202=Parametres!$G$3),J202,D202)</f>
        <v>-234672.87</v>
      </c>
      <c r="P202" s="151">
        <f>+IF(OR($Q202=Parametres!$G$2,$Q202=Parametres!$G$3),K202,E202)</f>
        <v>-990919.79</v>
      </c>
      <c r="Q202" s="150" t="str">
        <f t="shared" si="17"/>
        <v>5-Ventes</v>
      </c>
      <c r="R202" s="149" t="str">
        <f t="shared" si="18"/>
        <v>416</v>
      </c>
      <c r="S202" s="150" t="str">
        <f t="shared" si="19"/>
        <v>_</v>
      </c>
      <c r="T202" s="152" t="str">
        <f>+VLOOKUP($L202,Data_Validation!$A:$D,1,0)</f>
        <v>416</v>
      </c>
      <c r="U202" s="152" t="str">
        <f>+VLOOKUP($L202,Data_Validation!$A:$D,3,0)</f>
        <v>Véhicules neufs</v>
      </c>
      <c r="V202" s="152" t="str">
        <f>+VLOOKUP($L202,Data_Validation!$A:$D,4,0)</f>
        <v>Camions détail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2527</v>
      </c>
      <c r="B203" s="718" t="s">
        <v>2528</v>
      </c>
      <c r="C203" s="720">
        <v>-67812.75</v>
      </c>
      <c r="D203" s="720">
        <v>-147772</v>
      </c>
      <c r="E203" s="720">
        <v>-215584.75</v>
      </c>
      <c r="F203" s="718" t="s">
        <v>2007</v>
      </c>
      <c r="G203" s="718" t="s">
        <v>2528</v>
      </c>
      <c r="H203" s="666" t="s">
        <v>2971</v>
      </c>
      <c r="I203" s="665"/>
      <c r="J203" s="665"/>
      <c r="K203" s="665"/>
      <c r="L203" s="149" t="str">
        <f t="shared" si="15"/>
        <v>416A</v>
      </c>
      <c r="M203" s="150" t="str">
        <f t="shared" si="16"/>
        <v>VTES -VTE - X1 M35i xDRIVE</v>
      </c>
      <c r="N203" s="151">
        <f>+IF(OR($Q203=Parametres!$G$2,$Q203=Parametres!$G$3),I203,C203)</f>
        <v>-67812.75</v>
      </c>
      <c r="O203" s="151">
        <f>+IF(OR($Q203=Parametres!$G$2,$Q203=Parametres!$G$3),J203,D203)</f>
        <v>-147772</v>
      </c>
      <c r="P203" s="151">
        <f>+IF(OR($Q203=Parametres!$G$2,$Q203=Parametres!$G$3),K203,E203)</f>
        <v>-215584.75</v>
      </c>
      <c r="Q203" s="150" t="str">
        <f t="shared" si="17"/>
        <v>5-Ventes</v>
      </c>
      <c r="R203" s="149" t="str">
        <f t="shared" si="18"/>
        <v>416A</v>
      </c>
      <c r="S203" s="150" t="str">
        <f t="shared" si="19"/>
        <v>_</v>
      </c>
      <c r="T203" s="152" t="str">
        <f>+VLOOKUP($L203,Data_Validation!$A:$D,1,0)</f>
        <v>416A</v>
      </c>
      <c r="U203" s="152" t="str">
        <f>+VLOOKUP($L203,Data_Validation!$A:$D,3,0)</f>
        <v>Véhicules neufs</v>
      </c>
      <c r="V203" s="152" t="str">
        <f>+VLOOKUP($L203,Data_Validation!$A:$D,4,0)</f>
        <v>Camions détail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1094</v>
      </c>
      <c r="B204" s="718" t="s">
        <v>616</v>
      </c>
      <c r="C204" s="720">
        <v>-448239.89</v>
      </c>
      <c r="D204" s="720">
        <v>-684687.47</v>
      </c>
      <c r="E204" s="720">
        <v>-1132927.3600000001</v>
      </c>
      <c r="F204" s="718" t="s">
        <v>2007</v>
      </c>
      <c r="G204" s="718" t="s">
        <v>616</v>
      </c>
      <c r="H204" s="673" t="s">
        <v>2971</v>
      </c>
      <c r="I204" s="672"/>
      <c r="J204" s="672"/>
      <c r="K204" s="672"/>
      <c r="L204" s="149" t="str">
        <f t="shared" si="15"/>
        <v>418</v>
      </c>
      <c r="M204" s="150" t="str">
        <f t="shared" si="16"/>
        <v>VTE - AUTRES MODELES BMW</v>
      </c>
      <c r="N204" s="151">
        <f>+IF(OR($Q204=Parametres!$G$2,$Q204=Parametres!$G$3),I204,C204)</f>
        <v>-448239.89</v>
      </c>
      <c r="O204" s="151">
        <f>+IF(OR($Q204=Parametres!$G$2,$Q204=Parametres!$G$3),J204,D204)</f>
        <v>-684687.47</v>
      </c>
      <c r="P204" s="151">
        <f>+IF(OR($Q204=Parametres!$G$2,$Q204=Parametres!$G$3),K204,E204)</f>
        <v>-1132927.3600000001</v>
      </c>
      <c r="Q204" s="150" t="str">
        <f t="shared" si="17"/>
        <v>5-Ventes</v>
      </c>
      <c r="R204" s="149" t="str">
        <f t="shared" si="18"/>
        <v>418</v>
      </c>
      <c r="S204" s="150" t="str">
        <f t="shared" si="19"/>
        <v>_</v>
      </c>
      <c r="T204" s="152" t="str">
        <f>+VLOOKUP($L204,Data_Validation!$A:$D,1,0)</f>
        <v>418</v>
      </c>
      <c r="U204" s="152" t="str">
        <f>+VLOOKUP($L204,Data_Validation!$A:$D,3,0)</f>
        <v>Véhicules neufs</v>
      </c>
      <c r="V204" s="152" t="str">
        <f>+VLOOKUP($L204,Data_Validation!$A:$D,4,0)</f>
        <v>Ex-Démos et courtoisies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1385</v>
      </c>
      <c r="B205" s="718" t="s">
        <v>419</v>
      </c>
      <c r="C205" s="720">
        <v>0</v>
      </c>
      <c r="D205" s="720">
        <v>-111449.5</v>
      </c>
      <c r="E205" s="720">
        <v>-111449.5</v>
      </c>
      <c r="F205" s="718" t="s">
        <v>2007</v>
      </c>
      <c r="G205" s="718" t="s">
        <v>419</v>
      </c>
      <c r="H205" s="673" t="s">
        <v>2971</v>
      </c>
      <c r="I205" s="672"/>
      <c r="J205" s="672"/>
      <c r="K205" s="672"/>
      <c r="L205" s="149" t="str">
        <f t="shared" si="15"/>
        <v>422A</v>
      </c>
      <c r="M205" s="150" t="str">
        <f t="shared" si="16"/>
        <v>VTE - X6 XDRIVE 35I</v>
      </c>
      <c r="N205" s="151">
        <f>+IF(OR($Q205=Parametres!$G$2,$Q205=Parametres!$G$3),I205,C205)</f>
        <v>0</v>
      </c>
      <c r="O205" s="151">
        <f>+IF(OR($Q205=Parametres!$G$2,$Q205=Parametres!$G$3),J205,D205)</f>
        <v>-111449.5</v>
      </c>
      <c r="P205" s="151">
        <f>+IF(OR($Q205=Parametres!$G$2,$Q205=Parametres!$G$3),K205,E205)</f>
        <v>-111449.5</v>
      </c>
      <c r="Q205" s="150" t="str">
        <f t="shared" si="17"/>
        <v>5-Ventes</v>
      </c>
      <c r="R205" s="149" t="str">
        <f t="shared" si="18"/>
        <v>422A</v>
      </c>
      <c r="S205" s="150" t="str">
        <f t="shared" si="19"/>
        <v>_</v>
      </c>
      <c r="T205" s="152" t="str">
        <f>+VLOOKUP($L205,Data_Validation!$A:$D,1,0)</f>
        <v>422A</v>
      </c>
      <c r="U205" s="152" t="str">
        <f>+VLOOKUP($L205,Data_Validation!$A:$D,3,0)</f>
        <v>Véhicules neufs</v>
      </c>
      <c r="V205" s="152" t="str">
        <f>+VLOOKUP($L205,Data_Validation!$A:$D,4,0)</f>
        <v>Camions détail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1386</v>
      </c>
      <c r="B206" s="718" t="s">
        <v>617</v>
      </c>
      <c r="C206" s="720">
        <v>-223391.33</v>
      </c>
      <c r="D206" s="720">
        <v>-296069</v>
      </c>
      <c r="E206" s="720">
        <v>-519460.33</v>
      </c>
      <c r="F206" s="718" t="s">
        <v>2007</v>
      </c>
      <c r="G206" s="718" t="s">
        <v>617</v>
      </c>
      <c r="H206" s="673" t="s">
        <v>2971</v>
      </c>
      <c r="I206" s="673"/>
      <c r="J206" s="673"/>
      <c r="K206" s="673"/>
      <c r="L206" s="149" t="str">
        <f t="shared" si="15"/>
        <v>423C</v>
      </c>
      <c r="M206" s="150" t="str">
        <f t="shared" si="16"/>
        <v>VTES -X3 XDRIVE 30E</v>
      </c>
      <c r="N206" s="151">
        <f>+IF(OR($Q206=Parametres!$G$2,$Q206=Parametres!$G$3),I206,C206)</f>
        <v>-223391.33</v>
      </c>
      <c r="O206" s="151">
        <f>+IF(OR($Q206=Parametres!$G$2,$Q206=Parametres!$G$3),J206,D206)</f>
        <v>-296069</v>
      </c>
      <c r="P206" s="151">
        <f>+IF(OR($Q206=Parametres!$G$2,$Q206=Parametres!$G$3),K206,E206)</f>
        <v>-519460.33</v>
      </c>
      <c r="Q206" s="150" t="str">
        <f t="shared" si="17"/>
        <v>5-Ventes</v>
      </c>
      <c r="R206" s="149" t="str">
        <f t="shared" si="18"/>
        <v>423C</v>
      </c>
      <c r="S206" s="150" t="str">
        <f t="shared" si="19"/>
        <v>_</v>
      </c>
      <c r="T206" s="152" t="str">
        <f>+VLOOKUP($L206,Data_Validation!$A:$D,1,0)</f>
        <v>423C</v>
      </c>
      <c r="U206" s="152" t="str">
        <f>+VLOOKUP($L206,Data_Validation!$A:$D,3,0)</f>
        <v>Véhicules neufs</v>
      </c>
      <c r="V206" s="152" t="str">
        <f>+VLOOKUP($L206,Data_Validation!$A:$D,4,0)</f>
        <v>Camions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1077</v>
      </c>
      <c r="B207" s="718" t="s">
        <v>618</v>
      </c>
      <c r="C207" s="720">
        <v>-315674.75</v>
      </c>
      <c r="D207" s="720">
        <v>-198097.66</v>
      </c>
      <c r="E207" s="720">
        <v>-513772.41</v>
      </c>
      <c r="F207" s="718" t="s">
        <v>2007</v>
      </c>
      <c r="G207" s="718" t="s">
        <v>618</v>
      </c>
      <c r="H207" s="673" t="s">
        <v>2971</v>
      </c>
      <c r="I207" s="672"/>
      <c r="J207" s="672"/>
      <c r="K207" s="672"/>
      <c r="L207" s="149" t="str">
        <f t="shared" si="15"/>
        <v>423D</v>
      </c>
      <c r="M207" s="150" t="str">
        <f t="shared" si="16"/>
        <v>VTES -VTE - X5 XDRIVE 35I/ X5 XDRIVE 40I</v>
      </c>
      <c r="N207" s="151">
        <f>+IF(OR($Q207=Parametres!$G$2,$Q207=Parametres!$G$3),I207,C207)</f>
        <v>-315674.75</v>
      </c>
      <c r="O207" s="151">
        <f>+IF(OR($Q207=Parametres!$G$2,$Q207=Parametres!$G$3),J207,D207)</f>
        <v>-198097.66</v>
      </c>
      <c r="P207" s="151">
        <f>+IF(OR($Q207=Parametres!$G$2,$Q207=Parametres!$G$3),K207,E207)</f>
        <v>-513772.41</v>
      </c>
      <c r="Q207" s="150" t="str">
        <f t="shared" si="17"/>
        <v>5-Ventes</v>
      </c>
      <c r="R207" s="149" t="str">
        <f t="shared" si="18"/>
        <v>423D</v>
      </c>
      <c r="S207" s="150" t="str">
        <f t="shared" si="19"/>
        <v>_</v>
      </c>
      <c r="T207" s="152" t="str">
        <f>+VLOOKUP($L207,Data_Validation!$A:$D,1,0)</f>
        <v>423D</v>
      </c>
      <c r="U207" s="152" t="str">
        <f>+VLOOKUP($L207,Data_Validation!$A:$D,3,0)</f>
        <v>Véhicules neufs</v>
      </c>
      <c r="V207" s="152" t="str">
        <f>+VLOOKUP($L207,Data_Validation!$A:$D,4,0)</f>
        <v>Camions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2486</v>
      </c>
      <c r="B208" s="718" t="s">
        <v>2487</v>
      </c>
      <c r="C208" s="720">
        <v>-456402.34</v>
      </c>
      <c r="D208" s="720">
        <v>0</v>
      </c>
      <c r="E208" s="720">
        <v>-456402.34</v>
      </c>
      <c r="F208" s="718" t="s">
        <v>2007</v>
      </c>
      <c r="G208" s="718" t="s">
        <v>2487</v>
      </c>
      <c r="H208" s="666" t="s">
        <v>2971</v>
      </c>
      <c r="I208" s="665"/>
      <c r="J208" s="665"/>
      <c r="K208" s="665"/>
      <c r="L208" s="149" t="str">
        <f t="shared" si="15"/>
        <v>423F</v>
      </c>
      <c r="M208" s="150" t="str">
        <f t="shared" si="16"/>
        <v>VTES -VTE - X5 xDRIVE50e</v>
      </c>
      <c r="N208" s="151">
        <f>+IF(OR($Q208=Parametres!$G$2,$Q208=Parametres!$G$3),I208,C208)</f>
        <v>-456402.34</v>
      </c>
      <c r="O208" s="151">
        <f>+IF(OR($Q208=Parametres!$G$2,$Q208=Parametres!$G$3),J208,D208)</f>
        <v>0</v>
      </c>
      <c r="P208" s="151">
        <f>+IF(OR($Q208=Parametres!$G$2,$Q208=Parametres!$G$3),K208,E208)</f>
        <v>-456402.34</v>
      </c>
      <c r="Q208" s="150" t="str">
        <f t="shared" si="17"/>
        <v>5-Ventes</v>
      </c>
      <c r="R208" s="149" t="str">
        <f t="shared" si="18"/>
        <v>423F</v>
      </c>
      <c r="S208" s="150" t="str">
        <f t="shared" si="19"/>
        <v>_</v>
      </c>
      <c r="T208" s="152" t="str">
        <f>+VLOOKUP($L208,Data_Validation!$A:$D,1,0)</f>
        <v>423F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1864</v>
      </c>
      <c r="B209" s="718" t="s">
        <v>625</v>
      </c>
      <c r="C209" s="720">
        <v>0</v>
      </c>
      <c r="D209" s="720">
        <v>-159323.5</v>
      </c>
      <c r="E209" s="720">
        <v>-159323.5</v>
      </c>
      <c r="F209" s="718" t="s">
        <v>2007</v>
      </c>
      <c r="G209" s="718" t="s">
        <v>625</v>
      </c>
      <c r="H209" s="673" t="s">
        <v>2971</v>
      </c>
      <c r="I209" s="672"/>
      <c r="J209" s="672"/>
      <c r="K209" s="672"/>
      <c r="L209" s="149" t="str">
        <f t="shared" si="15"/>
        <v>430</v>
      </c>
      <c r="M209" s="150" t="str">
        <f t="shared" si="16"/>
        <v>VTE - M5 SEDAN</v>
      </c>
      <c r="N209" s="151">
        <f>+IF(OR($Q209=Parametres!$G$2,$Q209=Parametres!$G$3),I209,C209)</f>
        <v>0</v>
      </c>
      <c r="O209" s="151">
        <f>+IF(OR($Q209=Parametres!$G$2,$Q209=Parametres!$G$3),J209,D209)</f>
        <v>-159323.5</v>
      </c>
      <c r="P209" s="151">
        <f>+IF(OR($Q209=Parametres!$G$2,$Q209=Parametres!$G$3),K209,E209)</f>
        <v>-159323.5</v>
      </c>
      <c r="Q209" s="150" t="str">
        <f t="shared" si="17"/>
        <v>5-Ventes</v>
      </c>
      <c r="R209" s="149" t="str">
        <f t="shared" si="18"/>
        <v>430</v>
      </c>
      <c r="S209" s="150" t="str">
        <f t="shared" si="19"/>
        <v>_</v>
      </c>
      <c r="T209" s="152" t="str">
        <f>+VLOOKUP($L209,Data_Validation!$A:$D,1,0)</f>
        <v>430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1136</v>
      </c>
      <c r="B210" s="718" t="s">
        <v>1014</v>
      </c>
      <c r="C210" s="720">
        <v>-22090</v>
      </c>
      <c r="D210" s="720">
        <v>-18529.91</v>
      </c>
      <c r="E210" s="720">
        <v>-40619.910000000003</v>
      </c>
      <c r="F210" s="718" t="s">
        <v>2007</v>
      </c>
      <c r="G210" s="718" t="s">
        <v>625</v>
      </c>
      <c r="H210" s="719" t="s">
        <v>2971</v>
      </c>
      <c r="I210" s="719"/>
      <c r="J210" s="719"/>
      <c r="K210" s="719"/>
      <c r="L210" s="149" t="str">
        <f t="shared" si="15"/>
        <v>430A</v>
      </c>
      <c r="M210" s="150" t="str">
        <f t="shared" si="16"/>
        <v>VTES -VTE - MARQUAGE NEUF BMW AUTO</v>
      </c>
      <c r="N210" s="151">
        <f>+IF(OR($Q210=Parametres!$G$2,$Q210=Parametres!$G$3),I210,C210)</f>
        <v>-22090</v>
      </c>
      <c r="O210" s="151">
        <f>+IF(OR($Q210=Parametres!$G$2,$Q210=Parametres!$G$3),J210,D210)</f>
        <v>-18529.91</v>
      </c>
      <c r="P210" s="151">
        <f>+IF(OR($Q210=Parametres!$G$2,$Q210=Parametres!$G$3),K210,E210)</f>
        <v>-40619.910000000003</v>
      </c>
      <c r="Q210" s="150" t="str">
        <f t="shared" si="17"/>
        <v>5-Ventes</v>
      </c>
      <c r="R210" s="149" t="str">
        <f t="shared" si="18"/>
        <v>430</v>
      </c>
      <c r="S210" s="150" t="str">
        <f t="shared" si="19"/>
        <v>_</v>
      </c>
      <c r="T210" s="152" t="str">
        <f>+VLOOKUP($L210,Data_Validation!$A:$D,1,0)</f>
        <v>430A</v>
      </c>
      <c r="U210" s="152" t="str">
        <f>+VLOOKUP($L210,Data_Validation!$A:$D,3,0)</f>
        <v>Véhicules neufs</v>
      </c>
      <c r="V210" s="152" t="str">
        <f>+VLOOKUP($L210,Data_Validation!$A:$D,4,0)</f>
        <v>Rev. Autres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1390</v>
      </c>
      <c r="B211" s="718" t="s">
        <v>1016</v>
      </c>
      <c r="C211" s="720">
        <v>-7675.9</v>
      </c>
      <c r="D211" s="720">
        <v>-18548.8</v>
      </c>
      <c r="E211" s="720">
        <v>-26224.7</v>
      </c>
      <c r="F211" s="718" t="s">
        <v>2007</v>
      </c>
      <c r="G211" s="718" t="s">
        <v>625</v>
      </c>
      <c r="H211" s="673" t="s">
        <v>2971</v>
      </c>
      <c r="I211" s="672"/>
      <c r="J211" s="672"/>
      <c r="K211" s="672"/>
      <c r="L211" s="149" t="str">
        <f t="shared" si="15"/>
        <v>430C</v>
      </c>
      <c r="M211" s="150" t="str">
        <f t="shared" si="16"/>
        <v>VTE - ACCESSOIRES NEUFS BMW AUTO</v>
      </c>
      <c r="N211" s="151">
        <f>+IF(OR($Q211=Parametres!$G$2,$Q211=Parametres!$G$3),I211,C211)</f>
        <v>-7675.9</v>
      </c>
      <c r="O211" s="151">
        <f>+IF(OR($Q211=Parametres!$G$2,$Q211=Parametres!$G$3),J211,D211)</f>
        <v>-18548.8</v>
      </c>
      <c r="P211" s="151">
        <f>+IF(OR($Q211=Parametres!$G$2,$Q211=Parametres!$G$3),K211,E211)</f>
        <v>-26224.7</v>
      </c>
      <c r="Q211" s="150" t="str">
        <f t="shared" si="17"/>
        <v>5-Ventes</v>
      </c>
      <c r="R211" s="149" t="str">
        <f t="shared" si="18"/>
        <v>430</v>
      </c>
      <c r="S211" s="150" t="str">
        <f t="shared" si="19"/>
        <v>_</v>
      </c>
      <c r="T211" s="152" t="str">
        <f>+VLOOKUP($L211,Data_Validation!$A:$D,1,0)</f>
        <v>430C</v>
      </c>
      <c r="U211" s="152" t="str">
        <f>+VLOOKUP($L211,Data_Validation!$A:$D,3,0)</f>
        <v>Véhicules neufs</v>
      </c>
      <c r="V211" s="152" t="str">
        <f>+VLOOKUP($L211,Data_Validation!$A:$D,4,0)</f>
        <v>Rev. Autres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1164</v>
      </c>
      <c r="B212" s="718" t="s">
        <v>1165</v>
      </c>
      <c r="C212" s="720">
        <v>-49660</v>
      </c>
      <c r="D212" s="720">
        <v>-38230</v>
      </c>
      <c r="E212" s="720">
        <v>-87890</v>
      </c>
      <c r="F212" s="718" t="s">
        <v>2007</v>
      </c>
      <c r="G212" s="718" t="s">
        <v>625</v>
      </c>
      <c r="H212" s="673" t="s">
        <v>2971</v>
      </c>
      <c r="I212" s="672"/>
      <c r="J212" s="672"/>
      <c r="K212" s="672"/>
      <c r="L212" s="149" t="str">
        <f t="shared" si="15"/>
        <v>430E</v>
      </c>
      <c r="M212" s="150" t="str">
        <f t="shared" si="16"/>
        <v>VTE - PROTEC ESTHETIQUE NEUF BMW AUTO</v>
      </c>
      <c r="N212" s="151">
        <f>+IF(OR($Q212=Parametres!$G$2,$Q212=Parametres!$G$3),I212,C212)</f>
        <v>-49660</v>
      </c>
      <c r="O212" s="151">
        <f>+IF(OR($Q212=Parametres!$G$2,$Q212=Parametres!$G$3),J212,D212)</f>
        <v>-38230</v>
      </c>
      <c r="P212" s="151">
        <f>+IF(OR($Q212=Parametres!$G$2,$Q212=Parametres!$G$3),K212,E212)</f>
        <v>-87890</v>
      </c>
      <c r="Q212" s="150" t="str">
        <f t="shared" si="17"/>
        <v>5-Ventes</v>
      </c>
      <c r="R212" s="149" t="str">
        <f t="shared" si="18"/>
        <v>430</v>
      </c>
      <c r="S212" s="150" t="str">
        <f t="shared" si="19"/>
        <v>_</v>
      </c>
      <c r="T212" s="152" t="str">
        <f>+VLOOKUP($L212,Data_Validation!$A:$D,1,0)</f>
        <v>430E</v>
      </c>
      <c r="U212" s="152" t="str">
        <f>+VLOOKUP($L212,Data_Validation!$A:$D,3,0)</f>
        <v>Véhicules neufs</v>
      </c>
      <c r="V212" s="152" t="str">
        <f>+VLOOKUP($L212,Data_Validation!$A:$D,4,0)</f>
        <v>Rev. Protections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1391</v>
      </c>
      <c r="B213" s="718" t="s">
        <v>1392</v>
      </c>
      <c r="C213" s="720">
        <v>-3023.93</v>
      </c>
      <c r="D213" s="720">
        <v>-491.91</v>
      </c>
      <c r="E213" s="720">
        <v>-3515.84</v>
      </c>
      <c r="F213" s="718" t="s">
        <v>2007</v>
      </c>
      <c r="G213" s="718" t="s">
        <v>625</v>
      </c>
      <c r="H213" s="673" t="s">
        <v>2971</v>
      </c>
      <c r="I213" s="672"/>
      <c r="J213" s="672"/>
      <c r="K213" s="672"/>
      <c r="L213" s="149" t="str">
        <f t="shared" si="15"/>
        <v>430F</v>
      </c>
      <c r="M213" s="150" t="str">
        <f t="shared" si="16"/>
        <v>VTE - RIST FINANCE NEUF BMW AUTO</v>
      </c>
      <c r="N213" s="151">
        <f>+IF(OR($Q213=Parametres!$G$2,$Q213=Parametres!$G$3),I213,C213)</f>
        <v>-3023.93</v>
      </c>
      <c r="O213" s="151">
        <f>+IF(OR($Q213=Parametres!$G$2,$Q213=Parametres!$G$3),J213,D213)</f>
        <v>-491.91</v>
      </c>
      <c r="P213" s="151">
        <f>+IF(OR($Q213=Parametres!$G$2,$Q213=Parametres!$G$3),K213,E213)</f>
        <v>-3515.84</v>
      </c>
      <c r="Q213" s="150" t="str">
        <f t="shared" si="17"/>
        <v>5-Ventes</v>
      </c>
      <c r="R213" s="149" t="str">
        <f t="shared" si="18"/>
        <v>430</v>
      </c>
      <c r="S213" s="150" t="str">
        <f t="shared" si="19"/>
        <v>_</v>
      </c>
      <c r="T213" s="152" t="str">
        <f>+VLOOKUP($L213,Data_Validation!$A:$D,1,0)</f>
        <v>430F</v>
      </c>
      <c r="U213" s="152" t="str">
        <f>+VLOOKUP($L213,Data_Validation!$A:$D,3,0)</f>
        <v>Véhicules neufs</v>
      </c>
      <c r="V213" s="152" t="str">
        <f>+VLOOKUP($L213,Data_Validation!$A:$D,4,0)</f>
        <v>Rev. Finances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1393</v>
      </c>
      <c r="B214" s="718" t="s">
        <v>1011</v>
      </c>
      <c r="C214" s="720">
        <v>-2325</v>
      </c>
      <c r="D214" s="720">
        <v>-1555</v>
      </c>
      <c r="E214" s="720">
        <v>-3880</v>
      </c>
      <c r="F214" s="718" t="s">
        <v>2007</v>
      </c>
      <c r="G214" s="718" t="s">
        <v>625</v>
      </c>
      <c r="H214" s="719" t="s">
        <v>2971</v>
      </c>
      <c r="I214" s="719"/>
      <c r="J214" s="719"/>
      <c r="K214" s="719"/>
      <c r="L214" s="149" t="str">
        <f t="shared" si="15"/>
        <v>430P</v>
      </c>
      <c r="M214" s="150" t="str">
        <f t="shared" si="16"/>
        <v>VTE - PROTEC PNEUS/JANTES NEUF BMW AUTO</v>
      </c>
      <c r="N214" s="151">
        <f>+IF(OR($Q214=Parametres!$G$2,$Q214=Parametres!$G$3),I214,C214)</f>
        <v>-2325</v>
      </c>
      <c r="O214" s="151">
        <f>+IF(OR($Q214=Parametres!$G$2,$Q214=Parametres!$G$3),J214,D214)</f>
        <v>-1555</v>
      </c>
      <c r="P214" s="151">
        <f>+IF(OR($Q214=Parametres!$G$2,$Q214=Parametres!$G$3),K214,E214)</f>
        <v>-3880</v>
      </c>
      <c r="Q214" s="150" t="str">
        <f t="shared" si="17"/>
        <v>5-Ventes</v>
      </c>
      <c r="R214" s="149" t="str">
        <f t="shared" si="18"/>
        <v>430</v>
      </c>
      <c r="S214" s="150" t="str">
        <f t="shared" si="19"/>
        <v>_</v>
      </c>
      <c r="T214" s="152" t="str">
        <f>+VLOOKUP($L214,Data_Validation!$A:$D,1,0)</f>
        <v>430P</v>
      </c>
      <c r="U214" s="152" t="str">
        <f>+VLOOKUP($L214,Data_Validation!$A:$D,3,0)</f>
        <v>Véhicules neufs</v>
      </c>
      <c r="V214" s="152" t="str">
        <f>+VLOOKUP($L214,Data_Validation!$A:$D,4,0)</f>
        <v>Rev. Protections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1946</v>
      </c>
      <c r="B215" s="718" t="s">
        <v>1947</v>
      </c>
      <c r="C215" s="720">
        <v>0</v>
      </c>
      <c r="D215" s="720">
        <v>-14056.28</v>
      </c>
      <c r="E215" s="720">
        <v>-14056.28</v>
      </c>
      <c r="F215" s="718" t="s">
        <v>2007</v>
      </c>
      <c r="G215" s="718" t="s">
        <v>625</v>
      </c>
      <c r="H215" s="673" t="s">
        <v>2971</v>
      </c>
      <c r="I215" s="672"/>
      <c r="J215" s="672"/>
      <c r="K215" s="672"/>
      <c r="L215" s="149" t="str">
        <f t="shared" si="15"/>
        <v>430R</v>
      </c>
      <c r="M215" s="150" t="str">
        <f t="shared" si="16"/>
        <v>VTE - ASS. REMP. NEUF BMW AUTO</v>
      </c>
      <c r="N215" s="151">
        <f>+IF(OR($Q215=Parametres!$G$2,$Q215=Parametres!$G$3),I215,C215)</f>
        <v>0</v>
      </c>
      <c r="O215" s="151">
        <f>+IF(OR($Q215=Parametres!$G$2,$Q215=Parametres!$G$3),J215,D215)</f>
        <v>-14056.28</v>
      </c>
      <c r="P215" s="151">
        <f>+IF(OR($Q215=Parametres!$G$2,$Q215=Parametres!$G$3),K215,E215)</f>
        <v>-14056.28</v>
      </c>
      <c r="Q215" s="150" t="str">
        <f t="shared" si="17"/>
        <v>5-Ventes</v>
      </c>
      <c r="R215" s="149" t="str">
        <f t="shared" si="18"/>
        <v>430</v>
      </c>
      <c r="S215" s="150" t="str">
        <f t="shared" si="19"/>
        <v>_</v>
      </c>
      <c r="T215" s="152" t="str">
        <f>+VLOOKUP($L215,Data_Validation!$A:$D,1,0)</f>
        <v>430R</v>
      </c>
      <c r="U215" s="152" t="str">
        <f>+VLOOKUP($L215,Data_Validation!$A:$D,3,0)</f>
        <v>Véhicules neufs</v>
      </c>
      <c r="V215" s="152" t="str">
        <f>+VLOOKUP($L215,Data_Validation!$A:$D,4,0)</f>
        <v>Rev. Protections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1198</v>
      </c>
      <c r="B216" s="718" t="s">
        <v>1199</v>
      </c>
      <c r="C216" s="720">
        <v>-1497</v>
      </c>
      <c r="D216" s="720">
        <v>-8959.98</v>
      </c>
      <c r="E216" s="720">
        <v>-10456.98</v>
      </c>
      <c r="F216" s="718" t="s">
        <v>2007</v>
      </c>
      <c r="G216" s="718" t="s">
        <v>625</v>
      </c>
      <c r="H216" s="607" t="s">
        <v>2971</v>
      </c>
      <c r="I216" s="153"/>
      <c r="J216" s="153"/>
      <c r="K216" s="153"/>
      <c r="L216" s="149" t="str">
        <f t="shared" si="15"/>
        <v>430T</v>
      </c>
      <c r="M216" s="150" t="str">
        <f t="shared" si="16"/>
        <v>VTE - TRAITEMENT OTOPROTEC NEUF BMW AUTO</v>
      </c>
      <c r="N216" s="151">
        <f>+IF(OR($Q216=Parametres!$G$2,$Q216=Parametres!$G$3),I216,C216)</f>
        <v>-1497</v>
      </c>
      <c r="O216" s="151">
        <f>+IF(OR($Q216=Parametres!$G$2,$Q216=Parametres!$G$3),J216,D216)</f>
        <v>-8959.98</v>
      </c>
      <c r="P216" s="151">
        <f>+IF(OR($Q216=Parametres!$G$2,$Q216=Parametres!$G$3),K216,E216)</f>
        <v>-10456.98</v>
      </c>
      <c r="Q216" s="150" t="str">
        <f t="shared" si="17"/>
        <v>5-Ventes</v>
      </c>
      <c r="R216" s="149" t="str">
        <f t="shared" si="18"/>
        <v>430</v>
      </c>
      <c r="S216" s="150" t="str">
        <f t="shared" si="19"/>
        <v>_</v>
      </c>
      <c r="T216" s="152" t="str">
        <f>+VLOOKUP($L216,Data_Validation!$A:$D,1,0)</f>
        <v>430T</v>
      </c>
      <c r="U216" s="152" t="str">
        <f>+VLOOKUP($L216,Data_Validation!$A:$D,3,0)</f>
        <v>Véhicules neufs</v>
      </c>
      <c r="V216" s="152" t="str">
        <f>+VLOOKUP($L216,Data_Validation!$A:$D,4,0)</f>
        <v>Rev. Autres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1121</v>
      </c>
      <c r="B217" s="718" t="s">
        <v>1122</v>
      </c>
      <c r="C217" s="720">
        <v>-26185</v>
      </c>
      <c r="D217" s="720">
        <v>-22987</v>
      </c>
      <c r="E217" s="720">
        <v>-49172</v>
      </c>
      <c r="F217" s="718" t="s">
        <v>2007</v>
      </c>
      <c r="G217" s="718" t="s">
        <v>625</v>
      </c>
      <c r="H217" s="673" t="s">
        <v>2971</v>
      </c>
      <c r="I217" s="672"/>
      <c r="J217" s="672"/>
      <c r="K217" s="672"/>
      <c r="L217" s="149" t="str">
        <f t="shared" si="15"/>
        <v>430U</v>
      </c>
      <c r="M217" s="150" t="str">
        <f t="shared" si="16"/>
        <v>VTE - ASSIST USURE NEUF BMW AUTO</v>
      </c>
      <c r="N217" s="151">
        <f>+IF(OR($Q217=Parametres!$G$2,$Q217=Parametres!$G$3),I217,C217)</f>
        <v>-26185</v>
      </c>
      <c r="O217" s="151">
        <f>+IF(OR($Q217=Parametres!$G$2,$Q217=Parametres!$G$3),J217,D217)</f>
        <v>-22987</v>
      </c>
      <c r="P217" s="151">
        <f>+IF(OR($Q217=Parametres!$G$2,$Q217=Parametres!$G$3),K217,E217)</f>
        <v>-49172</v>
      </c>
      <c r="Q217" s="150" t="str">
        <f t="shared" si="17"/>
        <v>5-Ventes</v>
      </c>
      <c r="R217" s="149" t="str">
        <f t="shared" si="18"/>
        <v>430</v>
      </c>
      <c r="S217" s="150" t="str">
        <f t="shared" si="19"/>
        <v>_</v>
      </c>
      <c r="T217" s="152" t="str">
        <f>+VLOOKUP($L217,Data_Validation!$A:$D,1,0)</f>
        <v>430U</v>
      </c>
      <c r="U217" s="152" t="str">
        <f>+VLOOKUP($L217,Data_Validation!$A:$D,3,0)</f>
        <v>Véhicules neufs</v>
      </c>
      <c r="V217" s="152" t="str">
        <f>+VLOOKUP($L217,Data_Validation!$A:$D,4,0)</f>
        <v>Rev. Protections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2054</v>
      </c>
      <c r="B218" s="718" t="s">
        <v>2012</v>
      </c>
      <c r="C218" s="720">
        <v>-304844.05</v>
      </c>
      <c r="D218" s="720">
        <v>0</v>
      </c>
      <c r="E218" s="720">
        <v>-304844.05</v>
      </c>
      <c r="F218" s="718" t="s">
        <v>2007</v>
      </c>
      <c r="G218" s="718" t="s">
        <v>2012</v>
      </c>
      <c r="H218" s="719" t="s">
        <v>2971</v>
      </c>
      <c r="I218" s="719"/>
      <c r="J218" s="719"/>
      <c r="K218" s="719"/>
      <c r="L218" s="149" t="str">
        <f t="shared" si="15"/>
        <v>432</v>
      </c>
      <c r="M218" s="150" t="str">
        <f t="shared" si="16"/>
        <v>VTES -VTE - 530E XDRIVE</v>
      </c>
      <c r="N218" s="151">
        <f>+IF(OR($Q218=Parametres!$G$2,$Q218=Parametres!$G$3),I218,C218)</f>
        <v>-304844.05</v>
      </c>
      <c r="O218" s="151">
        <f>+IF(OR($Q218=Parametres!$G$2,$Q218=Parametres!$G$3),J218,D218)</f>
        <v>0</v>
      </c>
      <c r="P218" s="151">
        <f>+IF(OR($Q218=Parametres!$G$2,$Q218=Parametres!$G$3),K218,E218)</f>
        <v>-304844.05</v>
      </c>
      <c r="Q218" s="150" t="str">
        <f t="shared" si="17"/>
        <v>5-Ventes</v>
      </c>
      <c r="R218" s="149" t="str">
        <f t="shared" si="18"/>
        <v>432</v>
      </c>
      <c r="S218" s="150" t="str">
        <f t="shared" si="19"/>
        <v>_</v>
      </c>
      <c r="T218" s="152" t="str">
        <f>+VLOOKUP($L218,Data_Validation!$A:$D,1,0)</f>
        <v>432</v>
      </c>
      <c r="U218" s="152" t="str">
        <f>+VLOOKUP($L218,Data_Validation!$A:$D,3,0)</f>
        <v>Véhicules neufs</v>
      </c>
      <c r="V218" s="152" t="str">
        <f>+VLOOKUP($L218,Data_Validation!$A:$D,4,0)</f>
        <v>Autos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1126</v>
      </c>
      <c r="B219" s="718" t="s">
        <v>627</v>
      </c>
      <c r="C219" s="720">
        <v>-13033</v>
      </c>
      <c r="D219" s="720">
        <v>-25305</v>
      </c>
      <c r="E219" s="720">
        <v>-38338</v>
      </c>
      <c r="F219" s="718" t="s">
        <v>2007</v>
      </c>
      <c r="G219" s="718" t="s">
        <v>2012</v>
      </c>
      <c r="H219" s="673" t="s">
        <v>2971</v>
      </c>
      <c r="I219" s="672"/>
      <c r="J219" s="672"/>
      <c r="K219" s="672"/>
      <c r="L219" s="149" t="str">
        <f t="shared" si="15"/>
        <v>432A</v>
      </c>
      <c r="M219" s="150" t="str">
        <f t="shared" si="16"/>
        <v>VTE - GAR PROL NEUF BMW AUTO</v>
      </c>
      <c r="N219" s="151">
        <f>+IF(OR($Q219=Parametres!$G$2,$Q219=Parametres!$G$3),I219,C219)</f>
        <v>-13033</v>
      </c>
      <c r="O219" s="151">
        <f>+IF(OR($Q219=Parametres!$G$2,$Q219=Parametres!$G$3),J219,D219)</f>
        <v>-25305</v>
      </c>
      <c r="P219" s="151">
        <f>+IF(OR($Q219=Parametres!$G$2,$Q219=Parametres!$G$3),K219,E219)</f>
        <v>-38338</v>
      </c>
      <c r="Q219" s="150" t="str">
        <f t="shared" si="17"/>
        <v>5-Ventes</v>
      </c>
      <c r="R219" s="149" t="str">
        <f t="shared" si="18"/>
        <v>432</v>
      </c>
      <c r="S219" s="150" t="str">
        <f t="shared" si="19"/>
        <v>_</v>
      </c>
      <c r="T219" s="152" t="str">
        <f>+VLOOKUP($L219,Data_Validation!$A:$D,1,0)</f>
        <v>432A</v>
      </c>
      <c r="U219" s="152" t="str">
        <f>+VLOOKUP($L219,Data_Validation!$A:$D,3,0)</f>
        <v>Véhicules neufs</v>
      </c>
      <c r="V219" s="152" t="str">
        <f>+VLOOKUP($L219,Data_Validation!$A:$D,4,0)</f>
        <v>Rev. Protections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2095</v>
      </c>
      <c r="B220" s="718" t="s">
        <v>2094</v>
      </c>
      <c r="C220" s="720">
        <v>-10380</v>
      </c>
      <c r="D220" s="720">
        <v>-21831</v>
      </c>
      <c r="E220" s="720">
        <v>-32211</v>
      </c>
      <c r="F220" s="718" t="s">
        <v>2007</v>
      </c>
      <c r="G220" s="718" t="s">
        <v>2360</v>
      </c>
      <c r="H220" s="673" t="s">
        <v>2971</v>
      </c>
      <c r="I220" s="672"/>
      <c r="J220" s="672"/>
      <c r="K220" s="672"/>
      <c r="L220" s="149" t="str">
        <f t="shared" si="15"/>
        <v>434A</v>
      </c>
      <c r="M220" s="150" t="str">
        <f t="shared" si="16"/>
        <v>VTE - CONT ENTRT NEUF BMW AUTO</v>
      </c>
      <c r="N220" s="151">
        <f>+IF(OR($Q220=Parametres!$G$2,$Q220=Parametres!$G$3),I220,C220)</f>
        <v>-10380</v>
      </c>
      <c r="O220" s="151">
        <f>+IF(OR($Q220=Parametres!$G$2,$Q220=Parametres!$G$3),J220,D220)</f>
        <v>-21831</v>
      </c>
      <c r="P220" s="151">
        <f>+IF(OR($Q220=Parametres!$G$2,$Q220=Parametres!$G$3),K220,E220)</f>
        <v>-32211</v>
      </c>
      <c r="Q220" s="150" t="str">
        <f t="shared" si="17"/>
        <v>5-Ventes</v>
      </c>
      <c r="R220" s="149" t="str">
        <f t="shared" si="18"/>
        <v>434</v>
      </c>
      <c r="S220" s="150" t="str">
        <f t="shared" si="19"/>
        <v>_</v>
      </c>
      <c r="T220" s="152" t="str">
        <f>+VLOOKUP($L220,Data_Validation!$A:$D,1,0)</f>
        <v>434A</v>
      </c>
      <c r="U220" s="152" t="str">
        <f>+VLOOKUP($L220,Data_Validation!$A:$D,3,0)</f>
        <v>Véhicules neufs</v>
      </c>
      <c r="V220" s="152" t="str">
        <f>+VLOOKUP($L220,Data_Validation!$A:$D,4,0)</f>
        <v>Rev. Protections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1091</v>
      </c>
      <c r="B221" s="718" t="s">
        <v>420</v>
      </c>
      <c r="C221" s="720">
        <v>-297353.90000000002</v>
      </c>
      <c r="D221" s="720">
        <v>-117504</v>
      </c>
      <c r="E221" s="720">
        <v>-414857.9</v>
      </c>
      <c r="F221" s="718" t="s">
        <v>2007</v>
      </c>
      <c r="G221" s="718" t="s">
        <v>420</v>
      </c>
      <c r="H221" s="666" t="s">
        <v>2971</v>
      </c>
      <c r="I221" s="665"/>
      <c r="J221" s="665"/>
      <c r="K221" s="665"/>
      <c r="L221" s="149" t="str">
        <f t="shared" si="15"/>
        <v>440A</v>
      </c>
      <c r="M221" s="150" t="str">
        <f t="shared" si="16"/>
        <v>VTE - USAGE BMW AUTO CERT</v>
      </c>
      <c r="N221" s="151">
        <f>+IF(OR($Q221=Parametres!$G$2,$Q221=Parametres!$G$3),I221,C221)</f>
        <v>-297353.90000000002</v>
      </c>
      <c r="O221" s="151">
        <f>+IF(OR($Q221=Parametres!$G$2,$Q221=Parametres!$G$3),J221,D221)</f>
        <v>-117504</v>
      </c>
      <c r="P221" s="151">
        <f>+IF(OR($Q221=Parametres!$G$2,$Q221=Parametres!$G$3),K221,E221)</f>
        <v>-414857.9</v>
      </c>
      <c r="Q221" s="150" t="str">
        <f t="shared" si="17"/>
        <v>5-Ventes</v>
      </c>
      <c r="R221" s="149" t="str">
        <f t="shared" si="18"/>
        <v>440A</v>
      </c>
      <c r="S221" s="150" t="str">
        <f t="shared" si="19"/>
        <v>_</v>
      </c>
      <c r="T221" s="152" t="str">
        <f>+VLOOKUP($L221,Data_Validation!$A:$D,1,0)</f>
        <v>440A</v>
      </c>
      <c r="U221" s="152" t="str">
        <f>+VLOOKUP($L221,Data_Validation!$A:$D,3,0)</f>
        <v>Véhicules usagés</v>
      </c>
      <c r="V221" s="152" t="str">
        <f>+VLOOKUP($L221,Data_Validation!$A:$D,4,0)</f>
        <v>Certifié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1395</v>
      </c>
      <c r="B222" s="718" t="s">
        <v>416</v>
      </c>
      <c r="C222" s="720">
        <v>-229816</v>
      </c>
      <c r="D222" s="720">
        <v>-338941</v>
      </c>
      <c r="E222" s="720">
        <v>-568757</v>
      </c>
      <c r="F222" s="718" t="s">
        <v>2007</v>
      </c>
      <c r="G222" s="718" t="s">
        <v>416</v>
      </c>
      <c r="H222" s="673" t="s">
        <v>2971</v>
      </c>
      <c r="I222" s="673"/>
      <c r="J222" s="673"/>
      <c r="K222" s="673"/>
      <c r="L222" s="149" t="str">
        <f t="shared" si="15"/>
        <v>440B</v>
      </c>
      <c r="M222" s="150" t="str">
        <f t="shared" si="16"/>
        <v>VTE - USAGE BMW AUTO NON-CERT</v>
      </c>
      <c r="N222" s="151">
        <f>+IF(OR($Q222=Parametres!$G$2,$Q222=Parametres!$G$3),I222,C222)</f>
        <v>-229816</v>
      </c>
      <c r="O222" s="151">
        <f>+IF(OR($Q222=Parametres!$G$2,$Q222=Parametres!$G$3),J222,D222)</f>
        <v>-338941</v>
      </c>
      <c r="P222" s="151">
        <f>+IF(OR($Q222=Parametres!$G$2,$Q222=Parametres!$G$3),K222,E222)</f>
        <v>-568757</v>
      </c>
      <c r="Q222" s="150" t="str">
        <f t="shared" si="17"/>
        <v>5-Ventes</v>
      </c>
      <c r="R222" s="149" t="str">
        <f t="shared" si="18"/>
        <v>440B</v>
      </c>
      <c r="S222" s="150" t="str">
        <f t="shared" si="19"/>
        <v>_</v>
      </c>
      <c r="T222" s="152" t="str">
        <f>+VLOOKUP($L222,Data_Validation!$A:$D,1,0)</f>
        <v>440B</v>
      </c>
      <c r="U222" s="152" t="str">
        <f>+VLOOKUP($L222,Data_Validation!$A:$D,3,0)</f>
        <v>Véhicules usagés</v>
      </c>
      <c r="V222" s="152" t="str">
        <f>+VLOOKUP($L222,Data_Validation!$A:$D,4,0)</f>
        <v>Non Certifié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1082</v>
      </c>
      <c r="B223" s="718" t="s">
        <v>384</v>
      </c>
      <c r="C223" s="720">
        <v>-463634.89</v>
      </c>
      <c r="D223" s="720">
        <v>-166902</v>
      </c>
      <c r="E223" s="720">
        <v>-630536.89</v>
      </c>
      <c r="F223" s="718" t="s">
        <v>2007</v>
      </c>
      <c r="G223" s="718" t="s">
        <v>384</v>
      </c>
      <c r="H223" s="673" t="s">
        <v>2971</v>
      </c>
      <c r="I223" s="672"/>
      <c r="J223" s="672"/>
      <c r="K223" s="672"/>
      <c r="L223" s="149" t="str">
        <f t="shared" si="15"/>
        <v>442</v>
      </c>
      <c r="M223" s="150" t="str">
        <f t="shared" si="16"/>
        <v>VTE - USAGE AUTRES</v>
      </c>
      <c r="N223" s="151">
        <f>+IF(OR($Q223=Parametres!$G$2,$Q223=Parametres!$G$3),I223,C223)</f>
        <v>-463634.89</v>
      </c>
      <c r="O223" s="504">
        <f>+IF(OR($Q223=Parametres!$G$2,$Q223=Parametres!$G$3),J223,D223)</f>
        <v>-166902</v>
      </c>
      <c r="P223" s="151">
        <f>+IF(OR($Q223=Parametres!$G$2,$Q223=Parametres!$G$3),K223,E223)</f>
        <v>-630536.89</v>
      </c>
      <c r="Q223" s="150" t="str">
        <f t="shared" si="17"/>
        <v>5-Ventes</v>
      </c>
      <c r="R223" s="149" t="str">
        <f t="shared" si="18"/>
        <v>442</v>
      </c>
      <c r="S223" s="150" t="str">
        <f t="shared" si="19"/>
        <v>_</v>
      </c>
      <c r="T223" s="152" t="str">
        <f>+VLOOKUP($L223,Data_Validation!$A:$D,1,0)</f>
        <v>442</v>
      </c>
      <c r="U223" s="152" t="str">
        <f>+VLOOKUP($L223,Data_Validation!$A:$D,3,0)</f>
        <v>Véhicules usagés</v>
      </c>
      <c r="V223" s="152" t="str">
        <f>+VLOOKUP($L223,Data_Validation!$A:$D,4,0)</f>
        <v>Autres marques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1071</v>
      </c>
      <c r="B224" s="718" t="s">
        <v>1072</v>
      </c>
      <c r="C224" s="720">
        <v>-111800</v>
      </c>
      <c r="D224" s="720">
        <v>-2500</v>
      </c>
      <c r="E224" s="720">
        <v>-114300</v>
      </c>
      <c r="F224" s="718" t="s">
        <v>2007</v>
      </c>
      <c r="G224" s="718" t="s">
        <v>1072</v>
      </c>
      <c r="H224" s="673" t="s">
        <v>2971</v>
      </c>
      <c r="I224" s="672"/>
      <c r="J224" s="672"/>
      <c r="K224" s="672"/>
      <c r="L224" s="149" t="str">
        <f t="shared" si="15"/>
        <v>444A</v>
      </c>
      <c r="M224" s="150" t="str">
        <f t="shared" si="16"/>
        <v>VTE - GROS BMW AUTO</v>
      </c>
      <c r="N224" s="151">
        <f>+IF(OR($Q224=Parametres!$G$2,$Q224=Parametres!$G$3),I224,C224)</f>
        <v>-111800</v>
      </c>
      <c r="O224" s="504">
        <f>+IF(OR($Q224=Parametres!$G$2,$Q224=Parametres!$G$3),J224,D224)</f>
        <v>-2500</v>
      </c>
      <c r="P224" s="151">
        <f>+IF(OR($Q224=Parametres!$G$2,$Q224=Parametres!$G$3),K224,E224)</f>
        <v>-114300</v>
      </c>
      <c r="Q224" s="150" t="str">
        <f t="shared" si="17"/>
        <v>5-Ventes</v>
      </c>
      <c r="R224" s="149" t="str">
        <f t="shared" si="18"/>
        <v>444A</v>
      </c>
      <c r="S224" s="150" t="str">
        <f t="shared" si="19"/>
        <v>_</v>
      </c>
      <c r="T224" s="152" t="str">
        <f>+VLOOKUP($L224,Data_Validation!$A:$D,1,0)</f>
        <v>444A</v>
      </c>
      <c r="U224" s="152" t="str">
        <f>+VLOOKUP($L224,Data_Validation!$A:$D,3,0)</f>
        <v>Véhicules usagés</v>
      </c>
      <c r="V224" s="152" t="str">
        <f>+VLOOKUP($L224,Data_Validation!$A:$D,4,0)</f>
        <v>Ventes au Gros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1070</v>
      </c>
      <c r="B225" s="718" t="s">
        <v>398</v>
      </c>
      <c r="C225" s="719">
        <v>-264000</v>
      </c>
      <c r="D225" s="719">
        <v>0</v>
      </c>
      <c r="E225" s="719">
        <v>-264000</v>
      </c>
      <c r="F225" s="718" t="s">
        <v>2007</v>
      </c>
      <c r="G225" s="718" t="s">
        <v>398</v>
      </c>
      <c r="H225" s="719" t="s">
        <v>2971</v>
      </c>
      <c r="I225" s="720"/>
      <c r="J225" s="720"/>
      <c r="K225" s="720"/>
      <c r="L225" s="149" t="str">
        <f t="shared" si="15"/>
        <v>444B</v>
      </c>
      <c r="M225" s="150" t="str">
        <f t="shared" si="16"/>
        <v>VTE - GROS BMW CAMION</v>
      </c>
      <c r="N225" s="151">
        <f>+IF(OR($Q225=Parametres!$G$2,$Q225=Parametres!$G$3),I225,C225)</f>
        <v>-264000</v>
      </c>
      <c r="O225" s="151">
        <f>+IF(OR($Q225=Parametres!$G$2,$Q225=Parametres!$G$3),J225,D225)</f>
        <v>0</v>
      </c>
      <c r="P225" s="151">
        <f>+IF(OR($Q225=Parametres!$G$2,$Q225=Parametres!$G$3),K225,E225)</f>
        <v>-264000</v>
      </c>
      <c r="Q225" s="150" t="str">
        <f t="shared" si="17"/>
        <v>5-Ventes</v>
      </c>
      <c r="R225" s="149" t="str">
        <f t="shared" si="18"/>
        <v>444B</v>
      </c>
      <c r="S225" s="150" t="str">
        <f t="shared" si="19"/>
        <v>_</v>
      </c>
      <c r="T225" s="152" t="str">
        <f>+VLOOKUP($L225,Data_Validation!$A:$D,1,0)</f>
        <v>444B</v>
      </c>
      <c r="U225" s="152" t="str">
        <f>+VLOOKUP($L225,Data_Validation!$A:$D,3,0)</f>
        <v>Véhicules usagés</v>
      </c>
      <c r="V225" s="152" t="str">
        <f>+VLOOKUP($L225,Data_Validation!$A:$D,4,0)</f>
        <v>Ventes au Gros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1076</v>
      </c>
      <c r="B226" s="718" t="s">
        <v>401</v>
      </c>
      <c r="C226" s="719">
        <v>-935650</v>
      </c>
      <c r="D226" s="719">
        <v>-442250</v>
      </c>
      <c r="E226" s="719">
        <v>-1377900</v>
      </c>
      <c r="F226" s="718" t="s">
        <v>2007</v>
      </c>
      <c r="G226" s="718" t="s">
        <v>401</v>
      </c>
      <c r="H226" s="719" t="s">
        <v>2971</v>
      </c>
      <c r="I226" s="720"/>
      <c r="J226" s="720"/>
      <c r="K226" s="720"/>
      <c r="L226" s="149" t="str">
        <f t="shared" si="15"/>
        <v>444C</v>
      </c>
      <c r="M226" s="150" t="str">
        <f t="shared" si="16"/>
        <v>VTE - GROS AUTRES</v>
      </c>
      <c r="N226" s="151">
        <f>+IF(OR($Q226=Parametres!$G$2,$Q226=Parametres!$G$3),I226,C226)</f>
        <v>-935650</v>
      </c>
      <c r="O226" s="501">
        <f>+IF(OR($Q226=Parametres!$G$2,$Q226=Parametres!$G$3),J226,D226)</f>
        <v>-442250</v>
      </c>
      <c r="P226" s="151">
        <f>+IF(OR($Q226=Parametres!$G$2,$Q226=Parametres!$G$3),K226,E226)</f>
        <v>-1377900</v>
      </c>
      <c r="Q226" s="150" t="str">
        <f t="shared" si="17"/>
        <v>5-Ventes</v>
      </c>
      <c r="R226" s="149" t="str">
        <f t="shared" si="18"/>
        <v>444C</v>
      </c>
      <c r="S226" s="150" t="str">
        <f t="shared" si="19"/>
        <v>_</v>
      </c>
      <c r="T226" s="152" t="str">
        <f>+VLOOKUP($L226,Data_Validation!$A:$D,1,0)</f>
        <v>444C</v>
      </c>
      <c r="U226" s="152" t="str">
        <f>+VLOOKUP($L226,Data_Validation!$A:$D,3,0)</f>
        <v>Véhicules usagés</v>
      </c>
      <c r="V226" s="152" t="str">
        <f>+VLOOKUP($L226,Data_Validation!$A:$D,4,0)</f>
        <v>Ventes au Gros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1086</v>
      </c>
      <c r="B227" s="718" t="s">
        <v>418</v>
      </c>
      <c r="C227" s="719">
        <v>-329258.65999999997</v>
      </c>
      <c r="D227" s="719">
        <v>-133087</v>
      </c>
      <c r="E227" s="719">
        <v>-462345.66</v>
      </c>
      <c r="F227" s="718" t="s">
        <v>2007</v>
      </c>
      <c r="G227" s="718" t="s">
        <v>418</v>
      </c>
      <c r="H227" s="719" t="s">
        <v>2971</v>
      </c>
      <c r="I227" s="720"/>
      <c r="J227" s="720"/>
      <c r="K227" s="720"/>
      <c r="L227" s="149" t="str">
        <f t="shared" si="15"/>
        <v>446A</v>
      </c>
      <c r="M227" s="150" t="str">
        <f t="shared" si="16"/>
        <v>VTE - USAGE BMW CAMION CERT</v>
      </c>
      <c r="N227" s="151">
        <f>+IF(OR($Q227=Parametres!$G$2,$Q227=Parametres!$G$3),I227,C227)</f>
        <v>-329258.65999999997</v>
      </c>
      <c r="O227" s="151">
        <f>+IF(OR($Q227=Parametres!$G$2,$Q227=Parametres!$G$3),J227,D227)</f>
        <v>-133087</v>
      </c>
      <c r="P227" s="151">
        <f>+IF(OR($Q227=Parametres!$G$2,$Q227=Parametres!$G$3),K227,E227)</f>
        <v>-462345.66</v>
      </c>
      <c r="Q227" s="150" t="str">
        <f t="shared" si="17"/>
        <v>5-Ventes</v>
      </c>
      <c r="R227" s="149" t="str">
        <f t="shared" si="18"/>
        <v>446A</v>
      </c>
      <c r="S227" s="150" t="str">
        <f t="shared" si="19"/>
        <v>_</v>
      </c>
      <c r="T227" s="152" t="str">
        <f>+VLOOKUP($L227,Data_Validation!$A:$D,1,0)</f>
        <v>446A</v>
      </c>
      <c r="U227" s="152" t="str">
        <f>+VLOOKUP($L227,Data_Validation!$A:$D,3,0)</f>
        <v>Véhicules usagés</v>
      </c>
      <c r="V227" s="152" t="str">
        <f>+VLOOKUP($L227,Data_Validation!$A:$D,4,0)</f>
        <v>Certifié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1088</v>
      </c>
      <c r="B228" s="718" t="s">
        <v>404</v>
      </c>
      <c r="C228" s="719">
        <v>-226189.2</v>
      </c>
      <c r="D228" s="719">
        <v>-85900</v>
      </c>
      <c r="E228" s="719">
        <v>-312089.2</v>
      </c>
      <c r="F228" s="718" t="s">
        <v>2007</v>
      </c>
      <c r="G228" s="718" t="s">
        <v>404</v>
      </c>
      <c r="H228" s="719" t="s">
        <v>2971</v>
      </c>
      <c r="I228" s="720"/>
      <c r="J228" s="720"/>
      <c r="K228" s="720"/>
      <c r="L228" s="149" t="str">
        <f t="shared" si="15"/>
        <v>446B</v>
      </c>
      <c r="M228" s="150" t="str">
        <f t="shared" si="16"/>
        <v>VTE - USAGE BMW CAMION NON-CERT</v>
      </c>
      <c r="N228" s="151">
        <f>+IF(OR($Q228=Parametres!$G$2,$Q228=Parametres!$G$3),I228,C228)</f>
        <v>-226189.2</v>
      </c>
      <c r="O228" s="151">
        <f>+IF(OR($Q228=Parametres!$G$2,$Q228=Parametres!$G$3),J228,D228)</f>
        <v>-85900</v>
      </c>
      <c r="P228" s="151">
        <f>+IF(OR($Q228=Parametres!$G$2,$Q228=Parametres!$G$3),K228,E228)</f>
        <v>-312089.2</v>
      </c>
      <c r="Q228" s="150" t="str">
        <f t="shared" si="17"/>
        <v>5-Ventes</v>
      </c>
      <c r="R228" s="149" t="str">
        <f t="shared" si="18"/>
        <v>446B</v>
      </c>
      <c r="S228" s="150" t="str">
        <f t="shared" si="19"/>
        <v>_</v>
      </c>
      <c r="T228" s="152" t="str">
        <f>+VLOOKUP($L228,Data_Validation!$A:$D,1,0)</f>
        <v>446B</v>
      </c>
      <c r="U228" s="152" t="str">
        <f>+VLOOKUP($L228,Data_Validation!$A:$D,3,0)</f>
        <v>Véhicules usagés</v>
      </c>
      <c r="V228" s="152" t="str">
        <f>+VLOOKUP($L228,Data_Validation!$A:$D,4,0)</f>
        <v>Non Certifié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1396</v>
      </c>
      <c r="B229" s="718" t="s">
        <v>400</v>
      </c>
      <c r="C229" s="720">
        <v>-280269.40000000002</v>
      </c>
      <c r="D229" s="720">
        <v>-134827.24</v>
      </c>
      <c r="E229" s="720">
        <v>-415096.64</v>
      </c>
      <c r="F229" s="718" t="s">
        <v>2007</v>
      </c>
      <c r="G229" s="718" t="s">
        <v>400</v>
      </c>
      <c r="H229" s="673" t="s">
        <v>2971</v>
      </c>
      <c r="I229" s="673"/>
      <c r="J229" s="673"/>
      <c r="K229" s="673"/>
      <c r="L229" s="149" t="str">
        <f t="shared" si="15"/>
        <v>448</v>
      </c>
      <c r="M229" s="150" t="str">
        <f t="shared" si="16"/>
        <v>VTE - RACHAT LOCATION BMW</v>
      </c>
      <c r="N229" s="151">
        <f>+IF(OR($Q229=Parametres!$G$2,$Q229=Parametres!$G$3),I229,C229)</f>
        <v>-280269.40000000002</v>
      </c>
      <c r="O229" s="151">
        <f>+IF(OR($Q229=Parametres!$G$2,$Q229=Parametres!$G$3),J229,D229)</f>
        <v>-134827.24</v>
      </c>
      <c r="P229" s="151">
        <f>+IF(OR($Q229=Parametres!$G$2,$Q229=Parametres!$G$3),K229,E229)</f>
        <v>-415096.64</v>
      </c>
      <c r="Q229" s="150" t="str">
        <f t="shared" si="17"/>
        <v>5-Ventes</v>
      </c>
      <c r="R229" s="149" t="str">
        <f t="shared" si="18"/>
        <v>448</v>
      </c>
      <c r="S229" s="150" t="str">
        <f t="shared" si="19"/>
        <v>_</v>
      </c>
      <c r="T229" s="152" t="str">
        <f>+VLOOKUP($L229,Data_Validation!$A:$D,1,0)</f>
        <v>448</v>
      </c>
      <c r="U229" s="152" t="str">
        <f>+VLOOKUP($L229,Data_Validation!$A:$D,3,0)</f>
        <v>Véhicules neufs</v>
      </c>
      <c r="V229" s="152" t="str">
        <f>+VLOOKUP($L229,Data_Validation!$A:$D,4,0)</f>
        <v>Rachat bail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1186</v>
      </c>
      <c r="B230" s="718" t="s">
        <v>1012</v>
      </c>
      <c r="C230" s="720">
        <v>-4389</v>
      </c>
      <c r="D230" s="720">
        <v>-1995</v>
      </c>
      <c r="E230" s="720">
        <v>-6384</v>
      </c>
      <c r="F230" s="718" t="s">
        <v>2007</v>
      </c>
      <c r="G230" s="718" t="s">
        <v>1012</v>
      </c>
      <c r="H230" s="673" t="s">
        <v>2971</v>
      </c>
      <c r="I230" s="672"/>
      <c r="J230" s="672"/>
      <c r="K230" s="672"/>
      <c r="L230" s="149" t="str">
        <f t="shared" si="15"/>
        <v>450</v>
      </c>
      <c r="M230" s="150" t="str">
        <f t="shared" si="16"/>
        <v>VTES -MARQUAGE USAGE BMW CERT</v>
      </c>
      <c r="N230" s="151">
        <f>+IF(OR($Q230=Parametres!$G$2,$Q230=Parametres!$G$3),I230,C230)</f>
        <v>-4389</v>
      </c>
      <c r="O230" s="151">
        <f>+IF(OR($Q230=Parametres!$G$2,$Q230=Parametres!$G$3),J230,D230)</f>
        <v>-1995</v>
      </c>
      <c r="P230" s="151">
        <f>+IF(OR($Q230=Parametres!$G$2,$Q230=Parametres!$G$3),K230,E230)</f>
        <v>-6384</v>
      </c>
      <c r="Q230" s="150" t="str">
        <f t="shared" si="17"/>
        <v>5-Ventes</v>
      </c>
      <c r="R230" s="149" t="str">
        <f t="shared" si="18"/>
        <v>450</v>
      </c>
      <c r="S230" s="150" t="str">
        <f t="shared" si="19"/>
        <v>_</v>
      </c>
      <c r="T230" s="152" t="str">
        <f>+VLOOKUP($L230,Data_Validation!$A:$D,1,0)</f>
        <v>450</v>
      </c>
      <c r="U230" s="152" t="str">
        <f>+VLOOKUP($L230,Data_Validation!$A:$D,3,0)</f>
        <v>Véhicules usagés</v>
      </c>
      <c r="V230" s="152" t="str">
        <f>+VLOOKUP($L230,Data_Validation!$A:$D,4,0)</f>
        <v>Rev. Autres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1190</v>
      </c>
      <c r="B231" s="718" t="s">
        <v>1191</v>
      </c>
      <c r="C231" s="719">
        <v>-1225</v>
      </c>
      <c r="D231" s="719">
        <v>0</v>
      </c>
      <c r="E231" s="719">
        <v>-1225</v>
      </c>
      <c r="F231" s="718" t="s">
        <v>2007</v>
      </c>
      <c r="G231" s="718" t="s">
        <v>1012</v>
      </c>
      <c r="H231" s="719" t="s">
        <v>2971</v>
      </c>
      <c r="I231" s="720"/>
      <c r="J231" s="720"/>
      <c r="K231" s="720"/>
      <c r="L231" s="149" t="str">
        <f t="shared" si="15"/>
        <v>450E</v>
      </c>
      <c r="M231" s="150" t="str">
        <f t="shared" si="16"/>
        <v>VTE - PROTEC ESTHETIQUE USAGE BMW AUTO</v>
      </c>
      <c r="N231" s="151">
        <f>+IF(OR($Q231=Parametres!$G$2,$Q231=Parametres!$G$3),I231,C231)</f>
        <v>-1225</v>
      </c>
      <c r="O231" s="151">
        <f>+IF(OR($Q231=Parametres!$G$2,$Q231=Parametres!$G$3),J231,D231)</f>
        <v>0</v>
      </c>
      <c r="P231" s="151">
        <f>+IF(OR($Q231=Parametres!$G$2,$Q231=Parametres!$G$3),K231,E231)</f>
        <v>-1225</v>
      </c>
      <c r="Q231" s="150" t="str">
        <f t="shared" si="17"/>
        <v>5-Ventes</v>
      </c>
      <c r="R231" s="149" t="str">
        <f t="shared" si="18"/>
        <v>450</v>
      </c>
      <c r="S231" s="150" t="str">
        <f t="shared" si="19"/>
        <v>_</v>
      </c>
      <c r="T231" s="152" t="str">
        <f>+VLOOKUP($L231,Data_Validation!$A:$D,1,0)</f>
        <v>450E</v>
      </c>
      <c r="U231" s="152" t="str">
        <f>+VLOOKUP($L231,Data_Validation!$A:$D,3,0)</f>
        <v>Véhicules usagés</v>
      </c>
      <c r="V231" s="152" t="str">
        <f>+VLOOKUP($L231,Data_Validation!$A:$D,4,0)</f>
        <v>Rev. Protections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1650</v>
      </c>
      <c r="B232" s="718" t="s">
        <v>437</v>
      </c>
      <c r="C232" s="720">
        <v>-6063.75</v>
      </c>
      <c r="D232" s="720">
        <v>-2102.66</v>
      </c>
      <c r="E232" s="720">
        <v>-8166.41</v>
      </c>
      <c r="F232" s="718" t="s">
        <v>2007</v>
      </c>
      <c r="G232" s="718" t="s">
        <v>1012</v>
      </c>
      <c r="H232" s="673" t="s">
        <v>2971</v>
      </c>
      <c r="I232" s="672"/>
      <c r="J232" s="672"/>
      <c r="K232" s="672"/>
      <c r="L232" s="149" t="str">
        <f t="shared" si="15"/>
        <v>450F</v>
      </c>
      <c r="M232" s="150" t="str">
        <f t="shared" si="16"/>
        <v>VTE - RIST FINANCE USAGE BMW AUTO</v>
      </c>
      <c r="N232" s="151">
        <f>+IF(OR($Q232=Parametres!$G$2,$Q232=Parametres!$G$3),I232,C232)</f>
        <v>-6063.75</v>
      </c>
      <c r="O232" s="151">
        <f>+IF(OR($Q232=Parametres!$G$2,$Q232=Parametres!$G$3),J232,D232)</f>
        <v>-2102.66</v>
      </c>
      <c r="P232" s="151">
        <f>+IF(OR($Q232=Parametres!$G$2,$Q232=Parametres!$G$3),K232,E232)</f>
        <v>-8166.41</v>
      </c>
      <c r="Q232" s="150" t="str">
        <f t="shared" si="17"/>
        <v>5-Ventes</v>
      </c>
      <c r="R232" s="149" t="str">
        <f t="shared" si="18"/>
        <v>450</v>
      </c>
      <c r="S232" s="150" t="str">
        <f t="shared" si="19"/>
        <v>_</v>
      </c>
      <c r="T232" s="152" t="str">
        <f>+VLOOKUP($L232,Data_Validation!$A:$D,1,0)</f>
        <v>450F</v>
      </c>
      <c r="U232" s="152" t="str">
        <f>+VLOOKUP($L232,Data_Validation!$A:$D,3,0)</f>
        <v>Véhicules usagés</v>
      </c>
      <c r="V232" s="152" t="str">
        <f>+VLOOKUP($L232,Data_Validation!$A:$D,4,0)</f>
        <v>Rev. Finances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1407</v>
      </c>
      <c r="B233" s="718" t="s">
        <v>374</v>
      </c>
      <c r="C233" s="720">
        <v>-3990</v>
      </c>
      <c r="D233" s="720">
        <v>-1995</v>
      </c>
      <c r="E233" s="720">
        <v>-5985</v>
      </c>
      <c r="F233" s="718" t="s">
        <v>2007</v>
      </c>
      <c r="G233" s="718" t="s">
        <v>374</v>
      </c>
      <c r="H233" s="673" t="s">
        <v>2971</v>
      </c>
      <c r="I233" s="672"/>
      <c r="J233" s="672"/>
      <c r="K233" s="672"/>
      <c r="L233" s="149" t="str">
        <f t="shared" si="15"/>
        <v>451</v>
      </c>
      <c r="M233" s="150" t="str">
        <f t="shared" si="16"/>
        <v>VTES -VTE - MARQUAGE USAGE AUTRE</v>
      </c>
      <c r="N233" s="151">
        <f>+IF(OR($Q233=Parametres!$G$2,$Q233=Parametres!$G$3),I233,C233)</f>
        <v>-3990</v>
      </c>
      <c r="O233" s="151">
        <f>+IF(OR($Q233=Parametres!$G$2,$Q233=Parametres!$G$3),J233,D233)</f>
        <v>-1995</v>
      </c>
      <c r="P233" s="151">
        <f>+IF(OR($Q233=Parametres!$G$2,$Q233=Parametres!$G$3),K233,E233)</f>
        <v>-5985</v>
      </c>
      <c r="Q233" s="150" t="str">
        <f t="shared" si="17"/>
        <v>5-Ventes</v>
      </c>
      <c r="R233" s="149" t="str">
        <f t="shared" si="18"/>
        <v>451</v>
      </c>
      <c r="S233" s="150" t="str">
        <f t="shared" si="19"/>
        <v>_</v>
      </c>
      <c r="T233" s="152" t="str">
        <f>+VLOOKUP($L233,Data_Validation!$A:$D,1,0)</f>
        <v>451</v>
      </c>
      <c r="U233" s="152" t="str">
        <f>+VLOOKUP($L233,Data_Validation!$A:$D,3,0)</f>
        <v>Véhicules usagés</v>
      </c>
      <c r="V233" s="152" t="str">
        <f>+VLOOKUP($L233,Data_Validation!$A:$D,4,0)</f>
        <v>Rev. Autres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2915</v>
      </c>
      <c r="B234" s="718" t="s">
        <v>2916</v>
      </c>
      <c r="C234" s="719">
        <v>0</v>
      </c>
      <c r="D234" s="719">
        <v>-2689.56</v>
      </c>
      <c r="E234" s="719">
        <v>-2689.56</v>
      </c>
      <c r="F234" s="718" t="s">
        <v>2007</v>
      </c>
      <c r="G234" s="718" t="s">
        <v>374</v>
      </c>
      <c r="H234" s="719" t="s">
        <v>2971</v>
      </c>
      <c r="I234" s="720"/>
      <c r="J234" s="720"/>
      <c r="K234" s="720"/>
      <c r="L234" s="149" t="str">
        <f t="shared" si="15"/>
        <v>451R</v>
      </c>
      <c r="M234" s="150" t="str">
        <f t="shared" si="16"/>
        <v>VTE - ASS. REMP. USAGE AUTRE</v>
      </c>
      <c r="N234" s="151">
        <f>+IF(OR($Q234=Parametres!$G$2,$Q234=Parametres!$G$3),I234,C234)</f>
        <v>0</v>
      </c>
      <c r="O234" s="151">
        <f>+IF(OR($Q234=Parametres!$G$2,$Q234=Parametres!$G$3),J234,D234)</f>
        <v>-2689.56</v>
      </c>
      <c r="P234" s="151">
        <f>+IF(OR($Q234=Parametres!$G$2,$Q234=Parametres!$G$3),K234,E234)</f>
        <v>-2689.56</v>
      </c>
      <c r="Q234" s="150" t="str">
        <f t="shared" si="17"/>
        <v>5-Ventes</v>
      </c>
      <c r="R234" s="149" t="str">
        <f t="shared" si="18"/>
        <v>451</v>
      </c>
      <c r="S234" s="150" t="str">
        <f t="shared" si="19"/>
        <v>_</v>
      </c>
      <c r="T234" s="152" t="str">
        <f>+VLOOKUP($L234,Data_Validation!$A:$D,1,0)</f>
        <v>451R</v>
      </c>
      <c r="U234" s="152" t="str">
        <f>+VLOOKUP($L234,Data_Validation!$A:$D,3,0)</f>
        <v>Véhicules usagés</v>
      </c>
      <c r="V234" s="152" t="str">
        <f>+VLOOKUP($L234,Data_Validation!$A:$D,4,0)</f>
        <v>Rev. Protections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2203</v>
      </c>
      <c r="B235" s="718" t="s">
        <v>2204</v>
      </c>
      <c r="C235" s="720">
        <v>0</v>
      </c>
      <c r="D235" s="720">
        <v>-8249.77</v>
      </c>
      <c r="E235" s="720">
        <v>-8249.77</v>
      </c>
      <c r="F235" s="718" t="s">
        <v>2007</v>
      </c>
      <c r="G235" s="718" t="s">
        <v>374</v>
      </c>
      <c r="H235" s="673" t="s">
        <v>2971</v>
      </c>
      <c r="I235" s="672"/>
      <c r="J235" s="672"/>
      <c r="K235" s="672"/>
      <c r="L235" s="149" t="str">
        <f t="shared" si="15"/>
        <v>451V</v>
      </c>
      <c r="M235" s="150" t="str">
        <f t="shared" si="16"/>
        <v>VTE - ASS VIE/INV USAGE AUTRE</v>
      </c>
      <c r="N235" s="151">
        <f>+IF(OR($Q235=Parametres!$G$2,$Q235=Parametres!$G$3),I235,C235)</f>
        <v>0</v>
      </c>
      <c r="O235" s="151">
        <f>+IF(OR($Q235=Parametres!$G$2,$Q235=Parametres!$G$3),J235,D235)</f>
        <v>-8249.77</v>
      </c>
      <c r="P235" s="151">
        <f>+IF(OR($Q235=Parametres!$G$2,$Q235=Parametres!$G$3),K235,E235)</f>
        <v>-8249.77</v>
      </c>
      <c r="Q235" s="150" t="str">
        <f t="shared" si="17"/>
        <v>5-Ventes</v>
      </c>
      <c r="R235" s="149" t="str">
        <f t="shared" si="18"/>
        <v>451</v>
      </c>
      <c r="S235" s="150" t="str">
        <f t="shared" si="19"/>
        <v>_</v>
      </c>
      <c r="T235" s="152" t="str">
        <f>+VLOOKUP($L235,Data_Validation!$A:$D,1,0)</f>
        <v>451V</v>
      </c>
      <c r="U235" s="152" t="str">
        <f>+VLOOKUP($L235,Data_Validation!$A:$D,3,0)</f>
        <v>Véhicules usagés</v>
      </c>
      <c r="V235" s="152" t="str">
        <f>+VLOOKUP($L235,Data_Validation!$A:$D,4,0)</f>
        <v>Rev. Protections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1105</v>
      </c>
      <c r="B236" s="718" t="s">
        <v>368</v>
      </c>
      <c r="C236" s="720">
        <v>-40563</v>
      </c>
      <c r="D236" s="720">
        <v>-20331</v>
      </c>
      <c r="E236" s="720">
        <v>-60894</v>
      </c>
      <c r="F236" s="718" t="s">
        <v>2007</v>
      </c>
      <c r="G236" s="718" t="s">
        <v>368</v>
      </c>
      <c r="H236" s="673" t="s">
        <v>2971</v>
      </c>
      <c r="I236" s="672"/>
      <c r="J236" s="672"/>
      <c r="K236" s="672"/>
      <c r="L236" s="149" t="str">
        <f t="shared" si="15"/>
        <v>452</v>
      </c>
      <c r="M236" s="150" t="str">
        <f t="shared" si="16"/>
        <v>VTES -GAR PROL USAGE BMW CERT</v>
      </c>
      <c r="N236" s="151">
        <f>+IF(OR($Q236=Parametres!$G$2,$Q236=Parametres!$G$3),I236,C236)</f>
        <v>-40563</v>
      </c>
      <c r="O236" s="151">
        <f>+IF(OR($Q236=Parametres!$G$2,$Q236=Parametres!$G$3),J236,D236)</f>
        <v>-20331</v>
      </c>
      <c r="P236" s="151">
        <f>+IF(OR($Q236=Parametres!$G$2,$Q236=Parametres!$G$3),K236,E236)</f>
        <v>-60894</v>
      </c>
      <c r="Q236" s="150" t="str">
        <f t="shared" si="17"/>
        <v>5-Ventes</v>
      </c>
      <c r="R236" s="149" t="str">
        <f t="shared" si="18"/>
        <v>452</v>
      </c>
      <c r="S236" s="150" t="str">
        <f t="shared" si="19"/>
        <v>_</v>
      </c>
      <c r="T236" s="152" t="str">
        <f>+VLOOKUP($L236,Data_Validation!$A:$D,1,0)</f>
        <v>452</v>
      </c>
      <c r="U236" s="152" t="str">
        <f>+VLOOKUP($L236,Data_Validation!$A:$D,3,0)</f>
        <v>Véhicules usagés</v>
      </c>
      <c r="V236" s="152" t="str">
        <f>+VLOOKUP($L236,Data_Validation!$A:$D,4,0)</f>
        <v>Rev. Protections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1985</v>
      </c>
      <c r="B237" s="718" t="s">
        <v>1986</v>
      </c>
      <c r="C237" s="720">
        <v>-6000</v>
      </c>
      <c r="D237" s="720">
        <v>-19976</v>
      </c>
      <c r="E237" s="720">
        <v>-25976</v>
      </c>
      <c r="F237" s="718" t="s">
        <v>2007</v>
      </c>
      <c r="G237" s="718" t="s">
        <v>368</v>
      </c>
      <c r="H237" s="666" t="s">
        <v>2971</v>
      </c>
      <c r="I237" s="665"/>
      <c r="J237" s="665"/>
      <c r="K237" s="665"/>
      <c r="L237" s="149" t="str">
        <f t="shared" si="15"/>
        <v>452C</v>
      </c>
      <c r="M237" s="150" t="str">
        <f t="shared" si="16"/>
        <v>VTES -GAR PROL USAGE BMW NON-CERT</v>
      </c>
      <c r="N237" s="151">
        <f>+IF(OR($Q237=Parametres!$G$2,$Q237=Parametres!$G$3),I237,C237)</f>
        <v>-6000</v>
      </c>
      <c r="O237" s="151">
        <f>+IF(OR($Q237=Parametres!$G$2,$Q237=Parametres!$G$3),J237,D237)</f>
        <v>-19976</v>
      </c>
      <c r="P237" s="151">
        <f>+IF(OR($Q237=Parametres!$G$2,$Q237=Parametres!$G$3),K237,E237)</f>
        <v>-25976</v>
      </c>
      <c r="Q237" s="150" t="str">
        <f t="shared" si="17"/>
        <v>5-Ventes</v>
      </c>
      <c r="R237" s="149" t="str">
        <f t="shared" si="18"/>
        <v>452</v>
      </c>
      <c r="S237" s="150" t="str">
        <f t="shared" si="19"/>
        <v>_</v>
      </c>
      <c r="T237" s="152" t="str">
        <f>+VLOOKUP($L237,Data_Validation!$A:$D,1,0)</f>
        <v>452C</v>
      </c>
      <c r="U237" s="152" t="str">
        <f>+VLOOKUP($L237,Data_Validation!$A:$D,3,0)</f>
        <v>Véhicules usagés</v>
      </c>
      <c r="V237" s="152" t="str">
        <f>+VLOOKUP($L237,Data_Validation!$A:$D,4,0)</f>
        <v>Rev. Protections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1224</v>
      </c>
      <c r="B238" s="718" t="s">
        <v>369</v>
      </c>
      <c r="C238" s="720">
        <v>-6537.76</v>
      </c>
      <c r="D238" s="720">
        <v>-3196.36</v>
      </c>
      <c r="E238" s="720">
        <v>-9734.1200000000008</v>
      </c>
      <c r="F238" s="718" t="s">
        <v>2007</v>
      </c>
      <c r="G238" s="718" t="s">
        <v>369</v>
      </c>
      <c r="H238" s="673" t="s">
        <v>2971</v>
      </c>
      <c r="I238" s="672"/>
      <c r="J238" s="672"/>
      <c r="K238" s="672"/>
      <c r="L238" s="149" t="str">
        <f t="shared" si="15"/>
        <v>453</v>
      </c>
      <c r="M238" s="150" t="str">
        <f t="shared" si="16"/>
        <v>VTE - RIST FINANCE USAGE AUTRE</v>
      </c>
      <c r="N238" s="151">
        <f>+IF(OR($Q238=Parametres!$G$2,$Q238=Parametres!$G$3),I238,C238)</f>
        <v>-6537.76</v>
      </c>
      <c r="O238" s="151">
        <f>+IF(OR($Q238=Parametres!$G$2,$Q238=Parametres!$G$3),J238,D238)</f>
        <v>-3196.36</v>
      </c>
      <c r="P238" s="151">
        <f>+IF(OR($Q238=Parametres!$G$2,$Q238=Parametres!$G$3),K238,E238)</f>
        <v>-9734.1200000000008</v>
      </c>
      <c r="Q238" s="150" t="str">
        <f t="shared" si="17"/>
        <v>5-Ventes</v>
      </c>
      <c r="R238" s="149" t="str">
        <f t="shared" si="18"/>
        <v>453</v>
      </c>
      <c r="S238" s="150" t="str">
        <f t="shared" si="19"/>
        <v>_</v>
      </c>
      <c r="T238" s="152" t="str">
        <f>+VLOOKUP($L238,Data_Validation!$A:$D,1,0)</f>
        <v>453</v>
      </c>
      <c r="U238" s="152" t="str">
        <f>+VLOOKUP($L238,Data_Validation!$A:$D,3,0)</f>
        <v>Véhicules usagés</v>
      </c>
      <c r="V238" s="152" t="str">
        <f>+VLOOKUP($L238,Data_Validation!$A:$D,4,0)</f>
        <v>Rev. Finances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2366</v>
      </c>
      <c r="B239" s="718" t="s">
        <v>2361</v>
      </c>
      <c r="C239" s="720">
        <v>-2255</v>
      </c>
      <c r="D239" s="720">
        <v>-1591</v>
      </c>
      <c r="E239" s="720">
        <v>-3846</v>
      </c>
      <c r="F239" s="718" t="s">
        <v>2007</v>
      </c>
      <c r="G239" s="718" t="s">
        <v>2361</v>
      </c>
      <c r="H239" s="673" t="s">
        <v>2971</v>
      </c>
      <c r="I239" s="672"/>
      <c r="J239" s="672"/>
      <c r="K239" s="672"/>
      <c r="L239" s="149" t="str">
        <f t="shared" si="15"/>
        <v>454</v>
      </c>
      <c r="M239" s="150" t="str">
        <f t="shared" si="16"/>
        <v>VTE - CONT ENTRET USAGE BMW AUTO</v>
      </c>
      <c r="N239" s="151">
        <f>+IF(OR($Q239=Parametres!$G$2,$Q239=Parametres!$G$3),I239,C239)</f>
        <v>-2255</v>
      </c>
      <c r="O239" s="151">
        <f>+IF(OR($Q239=Parametres!$G$2,$Q239=Parametres!$G$3),J239,D239)</f>
        <v>-1591</v>
      </c>
      <c r="P239" s="151">
        <f>+IF(OR($Q239=Parametres!$G$2,$Q239=Parametres!$G$3),K239,E239)</f>
        <v>-3846</v>
      </c>
      <c r="Q239" s="150" t="str">
        <f t="shared" si="17"/>
        <v>5-Ventes</v>
      </c>
      <c r="R239" s="149" t="str">
        <f t="shared" si="18"/>
        <v>454</v>
      </c>
      <c r="S239" s="150" t="str">
        <f t="shared" si="19"/>
        <v>_</v>
      </c>
      <c r="T239" s="152" t="str">
        <f>+VLOOKUP($L239,Data_Validation!$A:$D,1,0)</f>
        <v>454</v>
      </c>
      <c r="U239" s="152" t="str">
        <f>+VLOOKUP($L239,Data_Validation!$A:$D,3,0)</f>
        <v>Véhicules usagés</v>
      </c>
      <c r="V239" s="152" t="str">
        <f>+VLOOKUP($L239,Data_Validation!$A:$D,4,0)</f>
        <v>Rev. Protections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2146</v>
      </c>
      <c r="B240" s="718" t="s">
        <v>2147</v>
      </c>
      <c r="C240" s="719">
        <v>-13770.19</v>
      </c>
      <c r="D240" s="719">
        <v>-2912</v>
      </c>
      <c r="E240" s="719">
        <v>-16682.189999999999</v>
      </c>
      <c r="F240" s="718" t="s">
        <v>2007</v>
      </c>
      <c r="G240" s="718" t="s">
        <v>2361</v>
      </c>
      <c r="H240" s="719" t="s">
        <v>2971</v>
      </c>
      <c r="I240" s="720"/>
      <c r="J240" s="720"/>
      <c r="K240" s="720"/>
      <c r="L240" s="149" t="str">
        <f t="shared" si="15"/>
        <v>454A</v>
      </c>
      <c r="M240" s="150" t="str">
        <f t="shared" si="16"/>
        <v>VTES -CONT ENTRET USAGE BMW NON-CERT</v>
      </c>
      <c r="N240" s="151">
        <f>+IF(OR($Q240=Parametres!$G$2,$Q240=Parametres!$G$3),I240,C240)</f>
        <v>-13770.19</v>
      </c>
      <c r="O240" s="151">
        <f>+IF(OR($Q240=Parametres!$G$2,$Q240=Parametres!$G$3),J240,D240)</f>
        <v>-2912</v>
      </c>
      <c r="P240" s="151">
        <f>+IF(OR($Q240=Parametres!$G$2,$Q240=Parametres!$G$3),K240,E240)</f>
        <v>-16682.189999999999</v>
      </c>
      <c r="Q240" s="150" t="str">
        <f t="shared" si="17"/>
        <v>5-Ventes</v>
      </c>
      <c r="R240" s="149" t="str">
        <f t="shared" si="18"/>
        <v>454</v>
      </c>
      <c r="S240" s="150" t="str">
        <f t="shared" si="19"/>
        <v>_</v>
      </c>
      <c r="T240" s="152" t="str">
        <f>+VLOOKUP($L240,Data_Validation!$A:$D,1,0)</f>
        <v>454A</v>
      </c>
      <c r="U240" s="152" t="str">
        <f>+VLOOKUP($L240,Data_Validation!$A:$D,3,0)</f>
        <v>Véhicules usagés</v>
      </c>
      <c r="V240" s="152" t="str">
        <f>+VLOOKUP($L240,Data_Validation!$A:$D,4,0)</f>
        <v>Rev. Protections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2129</v>
      </c>
      <c r="B241" s="718" t="s">
        <v>2130</v>
      </c>
      <c r="C241" s="719">
        <v>0</v>
      </c>
      <c r="D241" s="719">
        <v>-250</v>
      </c>
      <c r="E241" s="719">
        <v>-250</v>
      </c>
      <c r="F241" s="718" t="s">
        <v>2007</v>
      </c>
      <c r="G241" s="718" t="s">
        <v>1012</v>
      </c>
      <c r="H241" s="719" t="s">
        <v>2971</v>
      </c>
      <c r="I241" s="720"/>
      <c r="J241" s="720"/>
      <c r="K241" s="720"/>
      <c r="L241" s="149" t="str">
        <f t="shared" si="15"/>
        <v>454C</v>
      </c>
      <c r="M241" s="150" t="str">
        <f t="shared" si="16"/>
        <v>VTES -ACCESSOIRES USAGE BMW NON-CERT</v>
      </c>
      <c r="N241" s="151">
        <f>+IF(OR($Q241=Parametres!$G$2,$Q241=Parametres!$G$3),I241,C241)</f>
        <v>0</v>
      </c>
      <c r="O241" s="151">
        <f>+IF(OR($Q241=Parametres!$G$2,$Q241=Parametres!$G$3),J241,D241)</f>
        <v>-250</v>
      </c>
      <c r="P241" s="151">
        <f>+IF(OR($Q241=Parametres!$G$2,$Q241=Parametres!$G$3),K241,E241)</f>
        <v>-250</v>
      </c>
      <c r="Q241" s="150" t="str">
        <f t="shared" si="17"/>
        <v>5-Ventes</v>
      </c>
      <c r="R241" s="149" t="str">
        <f t="shared" si="18"/>
        <v>450</v>
      </c>
      <c r="S241" s="150" t="str">
        <f t="shared" si="19"/>
        <v>_</v>
      </c>
      <c r="T241" s="152" t="str">
        <f>+VLOOKUP($L241,Data_Validation!$A:$D,1,0)</f>
        <v>454C</v>
      </c>
      <c r="U241" s="152" t="str">
        <f>+VLOOKUP($L241,Data_Validation!$A:$D,3,0)</f>
        <v>Véhicules usagés</v>
      </c>
      <c r="V241" s="152" t="str">
        <f>+VLOOKUP($L241,Data_Validation!$A:$D,4,0)</f>
        <v>Rev. Autres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2067</v>
      </c>
      <c r="B242" s="671" t="s">
        <v>2068</v>
      </c>
      <c r="C242" s="672">
        <v>0</v>
      </c>
      <c r="D242" s="672">
        <v>-1605</v>
      </c>
      <c r="E242" s="672">
        <v>-1605</v>
      </c>
      <c r="F242" s="671" t="s">
        <v>2007</v>
      </c>
      <c r="G242" s="671" t="s">
        <v>1012</v>
      </c>
      <c r="H242" s="666" t="s">
        <v>2971</v>
      </c>
      <c r="I242" s="665"/>
      <c r="J242" s="665"/>
      <c r="K242" s="665"/>
      <c r="L242" s="149" t="str">
        <f t="shared" si="15"/>
        <v>454E</v>
      </c>
      <c r="M242" s="150" t="str">
        <f t="shared" si="16"/>
        <v>VTES -PROTEC ESTHETIQUE USAGE BMW NON-CERT</v>
      </c>
      <c r="N242" s="151">
        <f>+IF(OR($Q242=Parametres!$G$2,$Q242=Parametres!$G$3),I242,C242)</f>
        <v>0</v>
      </c>
      <c r="O242" s="151">
        <f>+IF(OR($Q242=Parametres!$G$2,$Q242=Parametres!$G$3),J242,D242)</f>
        <v>-1605</v>
      </c>
      <c r="P242" s="151">
        <f>+IF(OR($Q242=Parametres!$G$2,$Q242=Parametres!$G$3),K242,E242)</f>
        <v>-1605</v>
      </c>
      <c r="Q242" s="150" t="str">
        <f t="shared" si="17"/>
        <v>5-Ventes</v>
      </c>
      <c r="R242" s="149" t="str">
        <f t="shared" si="18"/>
        <v>450</v>
      </c>
      <c r="S242" s="150" t="str">
        <f t="shared" si="19"/>
        <v>_</v>
      </c>
      <c r="T242" s="152" t="str">
        <f>+VLOOKUP($L242,Data_Validation!$A:$D,1,0)</f>
        <v>454E</v>
      </c>
      <c r="U242" s="152" t="str">
        <f>+VLOOKUP($L242,Data_Validation!$A:$D,3,0)</f>
        <v>Véhicules usagés</v>
      </c>
      <c r="V242" s="152" t="str">
        <f>+VLOOKUP($L242,Data_Validation!$A:$D,4,0)</f>
        <v>Rev. Protections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1952</v>
      </c>
      <c r="B243" s="671" t="s">
        <v>1953</v>
      </c>
      <c r="C243" s="672">
        <v>-5451.11</v>
      </c>
      <c r="D243" s="672">
        <v>-8032.17</v>
      </c>
      <c r="E243" s="672">
        <v>-13483.28</v>
      </c>
      <c r="F243" s="671" t="s">
        <v>2007</v>
      </c>
      <c r="G243" s="671" t="s">
        <v>1012</v>
      </c>
      <c r="H243" s="666" t="s">
        <v>2971</v>
      </c>
      <c r="I243" s="665"/>
      <c r="J243" s="665"/>
      <c r="K243" s="665"/>
      <c r="L243" s="149" t="str">
        <f t="shared" si="15"/>
        <v>454F</v>
      </c>
      <c r="M243" s="150" t="str">
        <f t="shared" si="16"/>
        <v>VTES -RIST FINANCE USAGE BMW NON-CERT</v>
      </c>
      <c r="N243" s="151">
        <f>+IF(OR($Q243=Parametres!$G$2,$Q243=Parametres!$G$3),I243,C243)</f>
        <v>-5451.11</v>
      </c>
      <c r="O243" s="151">
        <f>+IF(OR($Q243=Parametres!$G$2,$Q243=Parametres!$G$3),J243,D243)</f>
        <v>-8032.17</v>
      </c>
      <c r="P243" s="151">
        <f>+IF(OR($Q243=Parametres!$G$2,$Q243=Parametres!$G$3),K243,E243)</f>
        <v>-13483.28</v>
      </c>
      <c r="Q243" s="150" t="str">
        <f t="shared" si="17"/>
        <v>5-Ventes</v>
      </c>
      <c r="R243" s="149" t="str">
        <f t="shared" si="18"/>
        <v>450</v>
      </c>
      <c r="S243" s="150" t="str">
        <f t="shared" si="19"/>
        <v>_</v>
      </c>
      <c r="T243" s="152" t="str">
        <f>+VLOOKUP($L243,Data_Validation!$A:$D,1,0)</f>
        <v>454F</v>
      </c>
      <c r="U243" s="152" t="str">
        <f>+VLOOKUP($L243,Data_Validation!$A:$D,3,0)</f>
        <v>Véhicules usagés</v>
      </c>
      <c r="V243" s="152" t="str">
        <f>+VLOOKUP($L243,Data_Validation!$A:$D,4,0)</f>
        <v>Rev. Finances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1954</v>
      </c>
      <c r="B244" s="671" t="s">
        <v>1955</v>
      </c>
      <c r="C244" s="672">
        <v>-5586</v>
      </c>
      <c r="D244" s="672">
        <v>-3591</v>
      </c>
      <c r="E244" s="672">
        <v>-9177</v>
      </c>
      <c r="F244" s="671" t="s">
        <v>2007</v>
      </c>
      <c r="G244" s="671" t="s">
        <v>1012</v>
      </c>
      <c r="H244" s="666" t="s">
        <v>2971</v>
      </c>
      <c r="I244" s="665"/>
      <c r="J244" s="665"/>
      <c r="K244" s="665"/>
      <c r="L244" s="149" t="str">
        <f t="shared" si="15"/>
        <v>454M</v>
      </c>
      <c r="M244" s="150" t="str">
        <f t="shared" si="16"/>
        <v>VTES -MARQUAGE USAGE BMW NON-CERT</v>
      </c>
      <c r="N244" s="151">
        <f>+IF(OR($Q244=Parametres!$G$2,$Q244=Parametres!$G$3),I244,C244)</f>
        <v>-5586</v>
      </c>
      <c r="O244" s="151">
        <f>+IF(OR($Q244=Parametres!$G$2,$Q244=Parametres!$G$3),J244,D244)</f>
        <v>-3591</v>
      </c>
      <c r="P244" s="151">
        <f>+IF(OR($Q244=Parametres!$G$2,$Q244=Parametres!$G$3),K244,E244)</f>
        <v>-9177</v>
      </c>
      <c r="Q244" s="150" t="str">
        <f t="shared" si="17"/>
        <v>5-Ventes</v>
      </c>
      <c r="R244" s="149" t="str">
        <f t="shared" si="18"/>
        <v>450</v>
      </c>
      <c r="S244" s="150" t="str">
        <f t="shared" si="19"/>
        <v>_</v>
      </c>
      <c r="T244" s="152" t="str">
        <f>+VLOOKUP($L244,Data_Validation!$A:$D,1,0)</f>
        <v>454M</v>
      </c>
      <c r="U244" s="152" t="str">
        <f>+VLOOKUP($L244,Data_Validation!$A:$D,3,0)</f>
        <v>Véhicules usagés</v>
      </c>
      <c r="V244" s="152" t="str">
        <f>+VLOOKUP($L244,Data_Validation!$A:$D,4,0)</f>
        <v>Rev. Protections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2401</v>
      </c>
      <c r="B245" s="671" t="s">
        <v>2402</v>
      </c>
      <c r="C245" s="672">
        <v>0</v>
      </c>
      <c r="D245" s="672">
        <v>-3613.77</v>
      </c>
      <c r="E245" s="672">
        <v>-3613.77</v>
      </c>
      <c r="F245" s="671" t="s">
        <v>2007</v>
      </c>
      <c r="G245" s="671" t="s">
        <v>1012</v>
      </c>
      <c r="H245" s="666" t="s">
        <v>2971</v>
      </c>
      <c r="I245" s="665"/>
      <c r="J245" s="665"/>
      <c r="K245" s="665"/>
      <c r="L245" s="149" t="str">
        <f t="shared" si="15"/>
        <v>454R</v>
      </c>
      <c r="M245" s="150" t="str">
        <f t="shared" si="16"/>
        <v>VTES -ASS. REMP. USAGE BMW NON-CERT</v>
      </c>
      <c r="N245" s="151">
        <f>+IF(OR($Q245=Parametres!$G$2,$Q245=Parametres!$G$3),I245,C245)</f>
        <v>0</v>
      </c>
      <c r="O245" s="151">
        <f>+IF(OR($Q245=Parametres!$G$2,$Q245=Parametres!$G$3),J245,D245)</f>
        <v>-3613.77</v>
      </c>
      <c r="P245" s="151">
        <f>+IF(OR($Q245=Parametres!$G$2,$Q245=Parametres!$G$3),K245,E245)</f>
        <v>-3613.77</v>
      </c>
      <c r="Q245" s="150" t="str">
        <f t="shared" si="17"/>
        <v>5-Ventes</v>
      </c>
      <c r="R245" s="149" t="str">
        <f t="shared" si="18"/>
        <v>450</v>
      </c>
      <c r="S245" s="150" t="str">
        <f t="shared" si="19"/>
        <v>_</v>
      </c>
      <c r="T245" s="152" t="str">
        <f>+VLOOKUP($L245,Data_Validation!$A:$D,1,0)</f>
        <v>454R</v>
      </c>
      <c r="U245" s="152" t="str">
        <f>+VLOOKUP($L245,Data_Validation!$A:$D,3,0)</f>
        <v>Véhicules usagés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2845</v>
      </c>
      <c r="B246" s="671" t="s">
        <v>2846</v>
      </c>
      <c r="C246" s="672">
        <v>0</v>
      </c>
      <c r="D246" s="672">
        <v>-1500</v>
      </c>
      <c r="E246" s="672">
        <v>-1500</v>
      </c>
      <c r="F246" s="671" t="s">
        <v>2007</v>
      </c>
      <c r="G246" s="671" t="s">
        <v>1012</v>
      </c>
      <c r="H246" s="666" t="s">
        <v>2971</v>
      </c>
      <c r="I246" s="665"/>
      <c r="J246" s="665"/>
      <c r="K246" s="665"/>
      <c r="L246" s="149" t="str">
        <f t="shared" si="15"/>
        <v>454T</v>
      </c>
      <c r="M246" s="150" t="str">
        <f t="shared" si="16"/>
        <v>VTES -TRAITEMENT OTOPROTEC USAGE BMW NON-CERT</v>
      </c>
      <c r="N246" s="151">
        <f>+IF(OR($Q246=Parametres!$G$2,$Q246=Parametres!$G$3),I246,C246)</f>
        <v>0</v>
      </c>
      <c r="O246" s="151">
        <f>+IF(OR($Q246=Parametres!$G$2,$Q246=Parametres!$G$3),J246,D246)</f>
        <v>-1500</v>
      </c>
      <c r="P246" s="151">
        <f>+IF(OR($Q246=Parametres!$G$2,$Q246=Parametres!$G$3),K246,E246)</f>
        <v>-1500</v>
      </c>
      <c r="Q246" s="150" t="str">
        <f t="shared" si="17"/>
        <v>5-Ventes</v>
      </c>
      <c r="R246" s="149" t="str">
        <f t="shared" si="18"/>
        <v>450</v>
      </c>
      <c r="S246" s="150" t="str">
        <f t="shared" si="19"/>
        <v>_</v>
      </c>
      <c r="T246" s="152" t="str">
        <f>+VLOOKUP($L246,Data_Validation!$A:$D,1,0)</f>
        <v>454T</v>
      </c>
      <c r="U246" s="152" t="str">
        <f>+VLOOKUP($L246,Data_Validation!$A:$D,3,0)</f>
        <v>Véhicules usagés</v>
      </c>
      <c r="V246" s="152" t="str">
        <f>+VLOOKUP($L246,Data_Validation!$A:$D,4,0)</f>
        <v>Rev. Autres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2978</v>
      </c>
      <c r="B247" s="671" t="s">
        <v>2979</v>
      </c>
      <c r="C247" s="672">
        <v>0</v>
      </c>
      <c r="D247" s="672">
        <v>-7665.19</v>
      </c>
      <c r="E247" s="672">
        <v>-7665.19</v>
      </c>
      <c r="F247" s="671" t="s">
        <v>2007</v>
      </c>
      <c r="G247" s="671" t="s">
        <v>1012</v>
      </c>
      <c r="H247" s="666" t="s">
        <v>2971</v>
      </c>
      <c r="I247" s="665"/>
      <c r="J247" s="665"/>
      <c r="K247" s="665"/>
      <c r="L247" s="149" t="str">
        <f t="shared" si="15"/>
        <v>454V</v>
      </c>
      <c r="M247" s="150" t="str">
        <f t="shared" si="16"/>
        <v>VTES -VTE - ASS VIE/INV USAGE BMW NON-CERT</v>
      </c>
      <c r="N247" s="151">
        <f>+IF(OR($Q247=Parametres!$G$2,$Q247=Parametres!$G$3),I247,C247)</f>
        <v>0</v>
      </c>
      <c r="O247" s="151">
        <f>+IF(OR($Q247=Parametres!$G$2,$Q247=Parametres!$G$3),J247,D247)</f>
        <v>-7665.19</v>
      </c>
      <c r="P247" s="151">
        <f>+IF(OR($Q247=Parametres!$G$2,$Q247=Parametres!$G$3),K247,E247)</f>
        <v>-7665.19</v>
      </c>
      <c r="Q247" s="150" t="str">
        <f t="shared" si="17"/>
        <v>5-Ventes</v>
      </c>
      <c r="R247" s="149" t="str">
        <f t="shared" si="18"/>
        <v>450</v>
      </c>
      <c r="S247" s="150" t="str">
        <f t="shared" si="19"/>
        <v>_</v>
      </c>
      <c r="T247" s="152" t="str">
        <f>+VLOOKUP($L247,Data_Validation!$A:$D,1,0)</f>
        <v>454V</v>
      </c>
      <c r="U247" s="152" t="str">
        <f>+VLOOKUP($L247,Data_Validation!$A:$D,3,0)</f>
        <v>Véhicules usagés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1411</v>
      </c>
      <c r="B248" s="718" t="s">
        <v>366</v>
      </c>
      <c r="C248" s="720">
        <v>0</v>
      </c>
      <c r="D248" s="720">
        <v>-6105</v>
      </c>
      <c r="E248" s="720">
        <v>-6105</v>
      </c>
      <c r="F248" s="718" t="s">
        <v>2007</v>
      </c>
      <c r="G248" s="718" t="s">
        <v>366</v>
      </c>
      <c r="H248" s="673" t="s">
        <v>2971</v>
      </c>
      <c r="I248" s="672"/>
      <c r="J248" s="672"/>
      <c r="K248" s="672"/>
      <c r="L248" s="149" t="str">
        <f t="shared" si="15"/>
        <v>455</v>
      </c>
      <c r="M248" s="150" t="str">
        <f t="shared" si="16"/>
        <v>VTE - GAR PROL USAGE AUTRE</v>
      </c>
      <c r="N248" s="151">
        <f>+IF(OR($Q248=Parametres!$G$2,$Q248=Parametres!$G$3),I248,C248)</f>
        <v>0</v>
      </c>
      <c r="O248" s="504">
        <f>+IF(OR($Q248=Parametres!$G$2,$Q248=Parametres!$G$3),J248,D248)</f>
        <v>-6105</v>
      </c>
      <c r="P248" s="151">
        <f>+IF(OR($Q248=Parametres!$G$2,$Q248=Parametres!$G$3),K248,E248)</f>
        <v>-6105</v>
      </c>
      <c r="Q248" s="150" t="str">
        <f t="shared" si="17"/>
        <v>5-Ventes</v>
      </c>
      <c r="R248" s="149" t="str">
        <f t="shared" si="18"/>
        <v>455</v>
      </c>
      <c r="S248" s="150" t="str">
        <f t="shared" si="19"/>
        <v>_</v>
      </c>
      <c r="T248" s="152" t="str">
        <f>+VLOOKUP($L248,Data_Validation!$A:$D,1,0)</f>
        <v>455</v>
      </c>
      <c r="U248" s="152" t="str">
        <f>+VLOOKUP($L248,Data_Validation!$A:$D,3,0)</f>
        <v>Véhicules usagés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1178</v>
      </c>
      <c r="B249" s="718" t="s">
        <v>450</v>
      </c>
      <c r="C249" s="720">
        <v>-8555.89</v>
      </c>
      <c r="D249" s="720">
        <v>-18979.509999999998</v>
      </c>
      <c r="E249" s="720">
        <v>-27535.4</v>
      </c>
      <c r="F249" s="718" t="s">
        <v>2007</v>
      </c>
      <c r="G249" s="718" t="s">
        <v>450</v>
      </c>
      <c r="H249" s="673" t="s">
        <v>2971</v>
      </c>
      <c r="I249" s="672"/>
      <c r="J249" s="672"/>
      <c r="K249" s="672"/>
      <c r="L249" s="149" t="str">
        <f t="shared" si="15"/>
        <v>459A</v>
      </c>
      <c r="M249" s="150" t="str">
        <f t="shared" si="16"/>
        <v>VTE - BMW SPA PROGRAMME</v>
      </c>
      <c r="N249" s="151">
        <f>+IF(OR($Q249=Parametres!$G$2,$Q249=Parametres!$G$3),I249,C249)</f>
        <v>-8555.89</v>
      </c>
      <c r="O249" s="151">
        <f>+IF(OR($Q249=Parametres!$G$2,$Q249=Parametres!$G$3),J249,D249)</f>
        <v>-18979.509999999998</v>
      </c>
      <c r="P249" s="151">
        <f>+IF(OR($Q249=Parametres!$G$2,$Q249=Parametres!$G$3),K249,E249)</f>
        <v>-27535.4</v>
      </c>
      <c r="Q249" s="150" t="str">
        <f t="shared" si="17"/>
        <v>5-Ventes</v>
      </c>
      <c r="R249" s="149" t="str">
        <f t="shared" si="18"/>
        <v>459A</v>
      </c>
      <c r="S249" s="150" t="str">
        <f t="shared" si="19"/>
        <v>_</v>
      </c>
      <c r="T249" s="152" t="str">
        <f>+VLOOKUP($L249,Data_Validation!$A:$D,1,0)</f>
        <v>459A</v>
      </c>
      <c r="U249" s="152" t="str">
        <f>+VLOOKUP($L249,Data_Validation!$A:$D,3,0)</f>
        <v>service</v>
      </c>
      <c r="V249" s="152" t="str">
        <f>+VLOOKUP($L249,Data_Validation!$A:$D,4,0)</f>
        <v>M/O Esthétique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2190</v>
      </c>
      <c r="B250" s="671" t="s">
        <v>2191</v>
      </c>
      <c r="C250" s="672">
        <v>-5598.1</v>
      </c>
      <c r="D250" s="672">
        <v>-1624.12</v>
      </c>
      <c r="E250" s="672">
        <v>-7222.22</v>
      </c>
      <c r="F250" s="671" t="s">
        <v>2007</v>
      </c>
      <c r="G250" s="671" t="s">
        <v>2417</v>
      </c>
      <c r="H250" s="666" t="s">
        <v>2971</v>
      </c>
      <c r="I250" s="665"/>
      <c r="J250" s="665"/>
      <c r="K250" s="665"/>
      <c r="L250" s="149" t="str">
        <f t="shared" si="15"/>
        <v>459B</v>
      </c>
      <c r="M250" s="150" t="str">
        <f t="shared" si="16"/>
        <v>VTES -VTE - SUBLET ESTHETIQUE</v>
      </c>
      <c r="N250" s="151">
        <f>+IF(OR($Q250=Parametres!$G$2,$Q250=Parametres!$G$3),I250,C250)</f>
        <v>-5598.1</v>
      </c>
      <c r="O250" s="151">
        <f>+IF(OR($Q250=Parametres!$G$2,$Q250=Parametres!$G$3),J250,D250)</f>
        <v>-1624.12</v>
      </c>
      <c r="P250" s="151">
        <f>+IF(OR($Q250=Parametres!$G$2,$Q250=Parametres!$G$3),K250,E250)</f>
        <v>-7222.22</v>
      </c>
      <c r="Q250" s="150" t="str">
        <f t="shared" si="17"/>
        <v>5-Ventes</v>
      </c>
      <c r="R250" s="149" t="str">
        <f t="shared" si="18"/>
        <v>459</v>
      </c>
      <c r="S250" s="150" t="str">
        <f t="shared" si="19"/>
        <v>_</v>
      </c>
      <c r="T250" s="152" t="str">
        <f>+VLOOKUP($L250,Data_Validation!$A:$D,1,0)</f>
        <v>459B</v>
      </c>
      <c r="U250" s="152" t="str">
        <f>+VLOOKUP($L250,Data_Validation!$A:$D,3,0)</f>
        <v>Service</v>
      </c>
      <c r="V250" s="152" t="str">
        <f>+VLOOKUP($L250,Data_Validation!$A:$D,4,0)</f>
        <v>M/O Esthétique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1115</v>
      </c>
      <c r="B251" s="718" t="s">
        <v>1116</v>
      </c>
      <c r="C251" s="719">
        <v>-50258.09</v>
      </c>
      <c r="D251" s="719">
        <v>-43961.88</v>
      </c>
      <c r="E251" s="719">
        <v>-94219.97</v>
      </c>
      <c r="F251" s="718" t="s">
        <v>2007</v>
      </c>
      <c r="G251" s="718" t="s">
        <v>1116</v>
      </c>
      <c r="H251" s="719" t="s">
        <v>2971</v>
      </c>
      <c r="I251" s="720"/>
      <c r="J251" s="720"/>
      <c r="K251" s="720"/>
      <c r="L251" s="149" t="str">
        <f t="shared" si="15"/>
        <v>460A</v>
      </c>
      <c r="M251" s="150" t="str">
        <f t="shared" si="16"/>
        <v>VTE - M/O CLIENT BMW AUTO</v>
      </c>
      <c r="N251" s="151">
        <f>+IF(OR($Q251=Parametres!$G$2,$Q251=Parametres!$G$3),I251,C251)</f>
        <v>-50258.09</v>
      </c>
      <c r="O251" s="151">
        <f>+IF(OR($Q251=Parametres!$G$2,$Q251=Parametres!$G$3),J251,D251)</f>
        <v>-43961.88</v>
      </c>
      <c r="P251" s="151">
        <f>+IF(OR($Q251=Parametres!$G$2,$Q251=Parametres!$G$3),K251,E251)</f>
        <v>-94219.97</v>
      </c>
      <c r="Q251" s="150" t="str">
        <f t="shared" si="17"/>
        <v>5-Ventes</v>
      </c>
      <c r="R251" s="149" t="str">
        <f t="shared" si="18"/>
        <v>460A</v>
      </c>
      <c r="S251" s="150" t="str">
        <f t="shared" si="19"/>
        <v>_</v>
      </c>
      <c r="T251" s="152" t="str">
        <f>+VLOOKUP($L251,Data_Validation!$A:$D,1,0)</f>
        <v>460A</v>
      </c>
      <c r="U251" s="152" t="str">
        <f>+VLOOKUP($L251,Data_Validation!$A:$D,3,0)</f>
        <v>service</v>
      </c>
      <c r="V251" s="152" t="str">
        <f>+VLOOKUP($L251,Data_Validation!$A:$D,4,0)</f>
        <v>M/O Client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1129</v>
      </c>
      <c r="B252" s="718" t="s">
        <v>415</v>
      </c>
      <c r="C252" s="720">
        <v>-76675.86</v>
      </c>
      <c r="D252" s="720">
        <v>-58813.33</v>
      </c>
      <c r="E252" s="720">
        <v>-135489.19</v>
      </c>
      <c r="F252" s="718" t="s">
        <v>2007</v>
      </c>
      <c r="G252" s="718" t="s">
        <v>1116</v>
      </c>
      <c r="H252" s="666" t="s">
        <v>2971</v>
      </c>
      <c r="I252" s="665"/>
      <c r="J252" s="665"/>
      <c r="K252" s="665"/>
      <c r="L252" s="149" t="str">
        <f t="shared" si="15"/>
        <v>460B</v>
      </c>
      <c r="M252" s="150" t="str">
        <f t="shared" si="16"/>
        <v>VTE - M/O CLIENT BMW CAMION</v>
      </c>
      <c r="N252" s="151">
        <f>+IF(OR($Q252=Parametres!$G$2,$Q252=Parametres!$G$3),I252,C252)</f>
        <v>-76675.86</v>
      </c>
      <c r="O252" s="151">
        <f>+IF(OR($Q252=Parametres!$G$2,$Q252=Parametres!$G$3),J252,D252)</f>
        <v>-58813.33</v>
      </c>
      <c r="P252" s="151">
        <f>+IF(OR($Q252=Parametres!$G$2,$Q252=Parametres!$G$3),K252,E252)</f>
        <v>-135489.19</v>
      </c>
      <c r="Q252" s="150" t="str">
        <f t="shared" si="17"/>
        <v>5-Ventes</v>
      </c>
      <c r="R252" s="149" t="str">
        <f t="shared" si="18"/>
        <v>460A</v>
      </c>
      <c r="S252" s="150" t="str">
        <f t="shared" si="19"/>
        <v>_</v>
      </c>
      <c r="T252" s="152" t="str">
        <f>+VLOOKUP($L252,Data_Validation!$A:$D,1,0)</f>
        <v>460B</v>
      </c>
      <c r="U252" s="152" t="str">
        <f>+VLOOKUP($L252,Data_Validation!$A:$D,3,0)</f>
        <v>service</v>
      </c>
      <c r="V252" s="152" t="str">
        <f>+VLOOKUP($L252,Data_Validation!$A:$D,4,0)</f>
        <v>M/O Client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1013</v>
      </c>
      <c r="B253" s="718" t="s">
        <v>458</v>
      </c>
      <c r="C253" s="720">
        <v>-5966.82</v>
      </c>
      <c r="D253" s="720">
        <v>-13507.58</v>
      </c>
      <c r="E253" s="720">
        <v>-19474.400000000001</v>
      </c>
      <c r="F253" s="718" t="s">
        <v>2007</v>
      </c>
      <c r="G253" s="718" t="s">
        <v>1116</v>
      </c>
      <c r="H253" s="673" t="s">
        <v>2971</v>
      </c>
      <c r="I253" s="672"/>
      <c r="J253" s="672"/>
      <c r="K253" s="672"/>
      <c r="L253" s="149" t="str">
        <f t="shared" si="15"/>
        <v>460D</v>
      </c>
      <c r="M253" s="150" t="str">
        <f t="shared" si="16"/>
        <v>VTE - M/O CLIENT BMW I</v>
      </c>
      <c r="N253" s="151">
        <f>+IF(OR($Q253=Parametres!$G$2,$Q253=Parametres!$G$3),I253,C253)</f>
        <v>-5966.82</v>
      </c>
      <c r="O253" s="151">
        <f>+IF(OR($Q253=Parametres!$G$2,$Q253=Parametres!$G$3),J253,D253)</f>
        <v>-13507.58</v>
      </c>
      <c r="P253" s="151">
        <f>+IF(OR($Q253=Parametres!$G$2,$Q253=Parametres!$G$3),K253,E253)</f>
        <v>-19474.400000000001</v>
      </c>
      <c r="Q253" s="150" t="str">
        <f t="shared" si="17"/>
        <v>5-Ventes</v>
      </c>
      <c r="R253" s="149" t="str">
        <f t="shared" si="18"/>
        <v>460A</v>
      </c>
      <c r="S253" s="150" t="str">
        <f t="shared" si="19"/>
        <v>_</v>
      </c>
      <c r="T253" s="152" t="str">
        <f>+VLOOKUP($L253,Data_Validation!$A:$D,1,0)</f>
        <v>460D</v>
      </c>
      <c r="U253" s="152" t="str">
        <f>+VLOOKUP($L253,Data_Validation!$A:$D,3,0)</f>
        <v>service</v>
      </c>
      <c r="V253" s="152" t="str">
        <f>+VLOOKUP($L253,Data_Validation!$A:$D,4,0)</f>
        <v>M/O Client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1127</v>
      </c>
      <c r="B254" s="718" t="s">
        <v>1110</v>
      </c>
      <c r="C254" s="720">
        <v>-27062.1</v>
      </c>
      <c r="D254" s="720">
        <v>-2978.82</v>
      </c>
      <c r="E254" s="720">
        <v>-30040.92</v>
      </c>
      <c r="F254" s="718" t="s">
        <v>2007</v>
      </c>
      <c r="G254" s="718" t="s">
        <v>1110</v>
      </c>
      <c r="H254" s="673" t="s">
        <v>2971</v>
      </c>
      <c r="I254" s="672"/>
      <c r="J254" s="672"/>
      <c r="K254" s="672"/>
      <c r="L254" s="149" t="str">
        <f t="shared" si="15"/>
        <v>461A</v>
      </c>
      <c r="M254" s="150" t="str">
        <f t="shared" si="16"/>
        <v>VTE - M/O GARANTIE BMW AUTO</v>
      </c>
      <c r="N254" s="151">
        <f>+IF(OR($Q254=Parametres!$G$2,$Q254=Parametres!$G$3),I254,C254)</f>
        <v>-27062.1</v>
      </c>
      <c r="O254" s="504">
        <f>+IF(OR($Q254=Parametres!$G$2,$Q254=Parametres!$G$3),J254,D254)</f>
        <v>-2978.82</v>
      </c>
      <c r="P254" s="151">
        <f>+IF(OR($Q254=Parametres!$G$2,$Q254=Parametres!$G$3),K254,E254)</f>
        <v>-30040.92</v>
      </c>
      <c r="Q254" s="150" t="str">
        <f t="shared" si="17"/>
        <v>5-Ventes</v>
      </c>
      <c r="R254" s="149" t="str">
        <f t="shared" si="18"/>
        <v>461A</v>
      </c>
      <c r="S254" s="150" t="str">
        <f t="shared" si="19"/>
        <v>_</v>
      </c>
      <c r="T254" s="152" t="str">
        <f>+VLOOKUP($L254,Data_Validation!$A:$D,1,0)</f>
        <v>461A</v>
      </c>
      <c r="U254" s="152" t="str">
        <f>+VLOOKUP($L254,Data_Validation!$A:$D,3,0)</f>
        <v>service</v>
      </c>
      <c r="V254" s="152" t="str">
        <f>+VLOOKUP($L254,Data_Validation!$A:$D,4,0)</f>
        <v>M/O Garantie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1109</v>
      </c>
      <c r="B255" s="718" t="s">
        <v>436</v>
      </c>
      <c r="C255" s="720">
        <v>-38801.769999999997</v>
      </c>
      <c r="D255" s="720">
        <v>-9357.66</v>
      </c>
      <c r="E255" s="720">
        <v>-48159.43</v>
      </c>
      <c r="F255" s="718" t="s">
        <v>2007</v>
      </c>
      <c r="G255" s="718" t="s">
        <v>1110</v>
      </c>
      <c r="H255" s="673" t="s">
        <v>2971</v>
      </c>
      <c r="I255" s="672"/>
      <c r="J255" s="672"/>
      <c r="K255" s="672"/>
      <c r="L255" s="149" t="str">
        <f t="shared" si="15"/>
        <v>461B</v>
      </c>
      <c r="M255" s="150" t="str">
        <f t="shared" si="16"/>
        <v>VTE - M/O GARANTIE BMW CAMION</v>
      </c>
      <c r="N255" s="151">
        <f>+IF(OR($Q255=Parametres!$G$2,$Q255=Parametres!$G$3),I255,C255)</f>
        <v>-38801.769999999997</v>
      </c>
      <c r="O255" s="151">
        <f>+IF(OR($Q255=Parametres!$G$2,$Q255=Parametres!$G$3),J255,D255)</f>
        <v>-9357.66</v>
      </c>
      <c r="P255" s="151">
        <f>+IF(OR($Q255=Parametres!$G$2,$Q255=Parametres!$G$3),K255,E255)</f>
        <v>-48159.43</v>
      </c>
      <c r="Q255" s="150" t="str">
        <f t="shared" si="17"/>
        <v>5-Ventes</v>
      </c>
      <c r="R255" s="149" t="str">
        <f t="shared" si="18"/>
        <v>461A</v>
      </c>
      <c r="S255" s="150" t="str">
        <f t="shared" si="19"/>
        <v>_</v>
      </c>
      <c r="T255" s="152" t="str">
        <f>+VLOOKUP($L255,Data_Validation!$A:$D,1,0)</f>
        <v>461B</v>
      </c>
      <c r="U255" s="152" t="str">
        <f>+VLOOKUP($L255,Data_Validation!$A:$D,3,0)</f>
        <v>service</v>
      </c>
      <c r="V255" s="152" t="str">
        <f>+VLOOKUP($L255,Data_Validation!$A:$D,4,0)</f>
        <v>M/O Garantie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1160</v>
      </c>
      <c r="B256" s="718" t="s">
        <v>441</v>
      </c>
      <c r="C256" s="720">
        <v>-6106.29</v>
      </c>
      <c r="D256" s="720">
        <v>-1927.8</v>
      </c>
      <c r="E256" s="720">
        <v>-8034.09</v>
      </c>
      <c r="F256" s="718" t="s">
        <v>2007</v>
      </c>
      <c r="G256" s="718" t="s">
        <v>441</v>
      </c>
      <c r="H256" s="666" t="s">
        <v>2971</v>
      </c>
      <c r="I256" s="665"/>
      <c r="J256" s="665"/>
      <c r="K256" s="665"/>
      <c r="L256" s="149" t="str">
        <f t="shared" si="15"/>
        <v>461D</v>
      </c>
      <c r="M256" s="150" t="str">
        <f t="shared" si="16"/>
        <v>VTE - M/O ENTRETIEN BMW AUTO</v>
      </c>
      <c r="N256" s="151">
        <f>+IF(OR($Q256=Parametres!$G$2,$Q256=Parametres!$G$3),I256,C256)</f>
        <v>-6106.29</v>
      </c>
      <c r="O256" s="151">
        <f>+IF(OR($Q256=Parametres!$G$2,$Q256=Parametres!$G$3),J256,D256)</f>
        <v>-1927.8</v>
      </c>
      <c r="P256" s="151">
        <f>+IF(OR($Q256=Parametres!$G$2,$Q256=Parametres!$G$3),K256,E256)</f>
        <v>-8034.09</v>
      </c>
      <c r="Q256" s="150" t="str">
        <f t="shared" si="17"/>
        <v>5-Ventes</v>
      </c>
      <c r="R256" s="149" t="str">
        <f t="shared" si="18"/>
        <v>461D</v>
      </c>
      <c r="S256" s="150" t="str">
        <f t="shared" si="19"/>
        <v>_</v>
      </c>
      <c r="T256" s="152" t="str">
        <f>+VLOOKUP($L256,Data_Validation!$A:$D,1,0)</f>
        <v>461D</v>
      </c>
      <c r="U256" s="152" t="str">
        <f>+VLOOKUP($L256,Data_Validation!$A:$D,3,0)</f>
        <v>service</v>
      </c>
      <c r="V256" s="152" t="str">
        <f>+VLOOKUP($L256,Data_Validation!$A:$D,4,0)</f>
        <v>M/O Garantie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1141</v>
      </c>
      <c r="B257" s="718" t="s">
        <v>435</v>
      </c>
      <c r="C257" s="719">
        <v>-15527.16</v>
      </c>
      <c r="D257" s="719">
        <v>-5673.24</v>
      </c>
      <c r="E257" s="719">
        <v>-21200.400000000001</v>
      </c>
      <c r="F257" s="718" t="s">
        <v>2007</v>
      </c>
      <c r="G257" s="718" t="s">
        <v>441</v>
      </c>
      <c r="H257" s="719" t="s">
        <v>2971</v>
      </c>
      <c r="I257" s="720"/>
      <c r="J257" s="720"/>
      <c r="K257" s="720"/>
      <c r="L257" s="149" t="str">
        <f t="shared" si="15"/>
        <v>461E</v>
      </c>
      <c r="M257" s="150" t="str">
        <f t="shared" si="16"/>
        <v>VTE - M/O ENTRETIEN BMW CAMION</v>
      </c>
      <c r="N257" s="151">
        <f>+IF(OR($Q257=Parametres!$G$2,$Q257=Parametres!$G$3),I257,C257)</f>
        <v>-15527.16</v>
      </c>
      <c r="O257" s="151">
        <f>+IF(OR($Q257=Parametres!$G$2,$Q257=Parametres!$G$3),J257,D257)</f>
        <v>-5673.24</v>
      </c>
      <c r="P257" s="151">
        <f>+IF(OR($Q257=Parametres!$G$2,$Q257=Parametres!$G$3),K257,E257)</f>
        <v>-21200.400000000001</v>
      </c>
      <c r="Q257" s="150" t="str">
        <f t="shared" si="17"/>
        <v>5-Ventes</v>
      </c>
      <c r="R257" s="149" t="str">
        <f t="shared" si="18"/>
        <v>461D</v>
      </c>
      <c r="S257" s="150" t="str">
        <f t="shared" si="19"/>
        <v>_</v>
      </c>
      <c r="T257" s="152" t="str">
        <f>+VLOOKUP($L257,Data_Validation!$A:$D,1,0)</f>
        <v>461E</v>
      </c>
      <c r="U257" s="152" t="str">
        <f>+VLOOKUP($L257,Data_Validation!$A:$D,3,0)</f>
        <v>service</v>
      </c>
      <c r="V257" s="152" t="str">
        <f>+VLOOKUP($L257,Data_Validation!$A:$D,4,0)</f>
        <v>M/O Garantie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1222</v>
      </c>
      <c r="B258" s="718" t="s">
        <v>469</v>
      </c>
      <c r="C258" s="720">
        <v>-1129.1600000000001</v>
      </c>
      <c r="D258" s="720">
        <v>-1583.55</v>
      </c>
      <c r="E258" s="720">
        <v>-2712.71</v>
      </c>
      <c r="F258" s="718" t="s">
        <v>2007</v>
      </c>
      <c r="G258" s="718" t="s">
        <v>441</v>
      </c>
      <c r="H258" s="673" t="s">
        <v>2971</v>
      </c>
      <c r="I258" s="672"/>
      <c r="J258" s="672"/>
      <c r="K258" s="672"/>
      <c r="L258" s="149" t="str">
        <f t="shared" ref="L258:L321" si="20">+B258</f>
        <v>461G</v>
      </c>
      <c r="M258" s="150" t="str">
        <f t="shared" ref="M258:M321" si="21">+A258</f>
        <v>VTE - M/O ENTRETIEN BMW I</v>
      </c>
      <c r="N258" s="151">
        <f>+IF(OR($Q258=Parametres!$G$2,$Q258=Parametres!$G$3),I258,C258)</f>
        <v>-1129.1600000000001</v>
      </c>
      <c r="O258" s="151">
        <f>+IF(OR($Q258=Parametres!$G$2,$Q258=Parametres!$G$3),J258,D258)</f>
        <v>-1583.55</v>
      </c>
      <c r="P258" s="151">
        <f>+IF(OR($Q258=Parametres!$G$2,$Q258=Parametres!$G$3),K258,E258)</f>
        <v>-2712.71</v>
      </c>
      <c r="Q258" s="150" t="str">
        <f t="shared" ref="Q258:Q321" si="22">+F258</f>
        <v>5-Ventes</v>
      </c>
      <c r="R258" s="149" t="str">
        <f t="shared" ref="R258:R321" si="23">+G258</f>
        <v>461D</v>
      </c>
      <c r="S258" s="150" t="str">
        <f t="shared" ref="S258:S321" si="24">+H258</f>
        <v>_</v>
      </c>
      <c r="T258" s="152" t="str">
        <f>+VLOOKUP($L258,Data_Validation!$A:$D,1,0)</f>
        <v>461G</v>
      </c>
      <c r="U258" s="152" t="str">
        <f>+VLOOKUP($L258,Data_Validation!$A:$D,3,0)</f>
        <v>service</v>
      </c>
      <c r="V258" s="152" t="str">
        <f>+VLOOKUP($L258,Data_Validation!$A:$D,4,0)</f>
        <v>M/O Garantie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1225</v>
      </c>
      <c r="B259" s="718" t="s">
        <v>468</v>
      </c>
      <c r="C259" s="720">
        <v>-7066.78</v>
      </c>
      <c r="D259" s="720">
        <v>-1041.3</v>
      </c>
      <c r="E259" s="720">
        <v>-8108.08</v>
      </c>
      <c r="F259" s="718" t="s">
        <v>2007</v>
      </c>
      <c r="G259" s="718" t="s">
        <v>1110</v>
      </c>
      <c r="H259" s="673" t="s">
        <v>2971</v>
      </c>
      <c r="I259" s="672"/>
      <c r="J259" s="672"/>
      <c r="K259" s="672"/>
      <c r="L259" s="149" t="str">
        <f t="shared" si="20"/>
        <v>461H</v>
      </c>
      <c r="M259" s="150" t="str">
        <f t="shared" si="21"/>
        <v>VTE - M/O GARANTIE BMW</v>
      </c>
      <c r="N259" s="151">
        <f>+IF(OR($Q259=Parametres!$G$2,$Q259=Parametres!$G$3),I259,C259)</f>
        <v>-7066.78</v>
      </c>
      <c r="O259" s="151">
        <f>+IF(OR($Q259=Parametres!$G$2,$Q259=Parametres!$G$3),J259,D259)</f>
        <v>-1041.3</v>
      </c>
      <c r="P259" s="151">
        <f>+IF(OR($Q259=Parametres!$G$2,$Q259=Parametres!$G$3),K259,E259)</f>
        <v>-8108.08</v>
      </c>
      <c r="Q259" s="150" t="str">
        <f t="shared" si="22"/>
        <v>5-Ventes</v>
      </c>
      <c r="R259" s="149" t="str">
        <f t="shared" si="23"/>
        <v>461A</v>
      </c>
      <c r="S259" s="150" t="str">
        <f t="shared" si="24"/>
        <v>_</v>
      </c>
      <c r="T259" s="152" t="str">
        <f>+VLOOKUP($L259,Data_Validation!$A:$D,1,0)</f>
        <v>461H</v>
      </c>
      <c r="U259" s="152" t="str">
        <f>+VLOOKUP($L259,Data_Validation!$A:$D,3,0)</f>
        <v>service</v>
      </c>
      <c r="V259" s="152" t="str">
        <f>+VLOOKUP($L259,Data_Validation!$A:$D,4,0)</f>
        <v>M/O Garantie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1140</v>
      </c>
      <c r="B260" s="718" t="s">
        <v>1139</v>
      </c>
      <c r="C260" s="720">
        <v>-51436.77</v>
      </c>
      <c r="D260" s="720">
        <v>-19222.38</v>
      </c>
      <c r="E260" s="720">
        <v>-70659.149999999994</v>
      </c>
      <c r="F260" s="718" t="s">
        <v>2007</v>
      </c>
      <c r="G260" s="718" t="s">
        <v>1139</v>
      </c>
      <c r="H260" s="666" t="s">
        <v>2971</v>
      </c>
      <c r="I260" s="665"/>
      <c r="J260" s="665"/>
      <c r="K260" s="665"/>
      <c r="L260" s="149" t="str">
        <f t="shared" si="20"/>
        <v>462A</v>
      </c>
      <c r="M260" s="150" t="str">
        <f t="shared" si="21"/>
        <v>VTE - M/O INTERNE BMW AUTO</v>
      </c>
      <c r="N260" s="151">
        <f>+IF(OR($Q260=Parametres!$G$2,$Q260=Parametres!$G$3),I260,C260)</f>
        <v>-51436.77</v>
      </c>
      <c r="O260" s="151">
        <f>+IF(OR($Q260=Parametres!$G$2,$Q260=Parametres!$G$3),J260,D260)</f>
        <v>-19222.38</v>
      </c>
      <c r="P260" s="151">
        <f>+IF(OR($Q260=Parametres!$G$2,$Q260=Parametres!$G$3),K260,E260)</f>
        <v>-70659.149999999994</v>
      </c>
      <c r="Q260" s="150" t="str">
        <f t="shared" si="22"/>
        <v>5-Ventes</v>
      </c>
      <c r="R260" s="149" t="str">
        <f t="shared" si="23"/>
        <v>462A</v>
      </c>
      <c r="S260" s="150" t="str">
        <f t="shared" si="24"/>
        <v>_</v>
      </c>
      <c r="T260" s="152" t="str">
        <f>+VLOOKUP($L260,Data_Validation!$A:$D,1,0)</f>
        <v>462A</v>
      </c>
      <c r="U260" s="152" t="str">
        <f>+VLOOKUP($L260,Data_Validation!$A:$D,3,0)</f>
        <v>service</v>
      </c>
      <c r="V260" s="152" t="str">
        <f>+VLOOKUP($L260,Data_Validation!$A:$D,4,0)</f>
        <v>M/O Interne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1138</v>
      </c>
      <c r="B261" s="718" t="s">
        <v>431</v>
      </c>
      <c r="C261" s="720">
        <v>-46657.52</v>
      </c>
      <c r="D261" s="720">
        <v>-18865.93</v>
      </c>
      <c r="E261" s="720">
        <v>-65523.45</v>
      </c>
      <c r="F261" s="718" t="s">
        <v>2007</v>
      </c>
      <c r="G261" s="718" t="s">
        <v>1139</v>
      </c>
      <c r="H261" s="673" t="s">
        <v>2971</v>
      </c>
      <c r="I261" s="672"/>
      <c r="J261" s="672"/>
      <c r="K261" s="672"/>
      <c r="L261" s="149" t="str">
        <f t="shared" si="20"/>
        <v>462B</v>
      </c>
      <c r="M261" s="150" t="str">
        <f t="shared" si="21"/>
        <v>VTE - M/O INTERNE BMW CAMION</v>
      </c>
      <c r="N261" s="151">
        <f>+IF(OR($Q261=Parametres!$G$2,$Q261=Parametres!$G$3),I261,C261)</f>
        <v>-46657.52</v>
      </c>
      <c r="O261" s="151">
        <f>+IF(OR($Q261=Parametres!$G$2,$Q261=Parametres!$G$3),J261,D261)</f>
        <v>-18865.93</v>
      </c>
      <c r="P261" s="151">
        <f>+IF(OR($Q261=Parametres!$G$2,$Q261=Parametres!$G$3),K261,E261)</f>
        <v>-65523.45</v>
      </c>
      <c r="Q261" s="150" t="str">
        <f t="shared" si="22"/>
        <v>5-Ventes</v>
      </c>
      <c r="R261" s="149" t="str">
        <f t="shared" si="23"/>
        <v>462A</v>
      </c>
      <c r="S261" s="150" t="str">
        <f t="shared" si="24"/>
        <v>_</v>
      </c>
      <c r="T261" s="152" t="str">
        <f>+VLOOKUP($L261,Data_Validation!$A:$D,1,0)</f>
        <v>462B</v>
      </c>
      <c r="U261" s="152" t="str">
        <f>+VLOOKUP($L261,Data_Validation!$A:$D,3,0)</f>
        <v>service</v>
      </c>
      <c r="V261" s="152" t="str">
        <f>+VLOOKUP($L261,Data_Validation!$A:$D,4,0)</f>
        <v>M/O Interne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1018</v>
      </c>
      <c r="B262" s="671" t="s">
        <v>471</v>
      </c>
      <c r="C262" s="672">
        <v>-13006.22</v>
      </c>
      <c r="D262" s="672">
        <v>-3804.89</v>
      </c>
      <c r="E262" s="672">
        <v>-16811.11</v>
      </c>
      <c r="F262" s="671" t="s">
        <v>2007</v>
      </c>
      <c r="G262" s="671" t="s">
        <v>1139</v>
      </c>
      <c r="H262" s="666" t="s">
        <v>2971</v>
      </c>
      <c r="I262" s="665"/>
      <c r="J262" s="665"/>
      <c r="K262" s="665"/>
      <c r="L262" s="149" t="str">
        <f t="shared" si="20"/>
        <v>462D</v>
      </c>
      <c r="M262" s="150" t="str">
        <f t="shared" si="21"/>
        <v>VTE - M/O INTERNE BMW I</v>
      </c>
      <c r="N262" s="151">
        <f>+IF(OR($Q262=Parametres!$G$2,$Q262=Parametres!$G$3),I262,C262)</f>
        <v>-13006.22</v>
      </c>
      <c r="O262" s="151">
        <f>+IF(OR($Q262=Parametres!$G$2,$Q262=Parametres!$G$3),J262,D262)</f>
        <v>-3804.89</v>
      </c>
      <c r="P262" s="151">
        <f>+IF(OR($Q262=Parametres!$G$2,$Q262=Parametres!$G$3),K262,E262)</f>
        <v>-16811.11</v>
      </c>
      <c r="Q262" s="150" t="str">
        <f t="shared" si="22"/>
        <v>5-Ventes</v>
      </c>
      <c r="R262" s="149" t="str">
        <f t="shared" si="23"/>
        <v>462A</v>
      </c>
      <c r="S262" s="150" t="str">
        <f t="shared" si="24"/>
        <v>_</v>
      </c>
      <c r="T262" s="152" t="str">
        <f>+VLOOKUP($L262,Data_Validation!$A:$D,1,0)</f>
        <v>462D</v>
      </c>
      <c r="U262" s="152" t="str">
        <f>+VLOOKUP($L262,Data_Validation!$A:$D,3,0)</f>
        <v>service</v>
      </c>
      <c r="V262" s="152" t="str">
        <f>+VLOOKUP($L262,Data_Validation!$A:$D,4,0)</f>
        <v>M/O Interne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2174</v>
      </c>
      <c r="B263" s="718" t="s">
        <v>2175</v>
      </c>
      <c r="C263" s="720">
        <v>-4365.8999999999996</v>
      </c>
      <c r="D263" s="720">
        <v>-553.53</v>
      </c>
      <c r="E263" s="720">
        <v>-4919.43</v>
      </c>
      <c r="F263" s="718" t="s">
        <v>2007</v>
      </c>
      <c r="G263" s="718" t="s">
        <v>1139</v>
      </c>
      <c r="H263" s="673" t="s">
        <v>2971</v>
      </c>
      <c r="I263" s="672"/>
      <c r="J263" s="672"/>
      <c r="K263" s="672"/>
      <c r="L263" s="149" t="str">
        <f t="shared" si="20"/>
        <v>462L</v>
      </c>
      <c r="M263" s="150" t="str">
        <f t="shared" si="21"/>
        <v>VTES -SUBLET INTERNE AUTO</v>
      </c>
      <c r="N263" s="151">
        <f>+IF(OR($Q263=Parametres!$G$2,$Q263=Parametres!$G$3),I263,C263)</f>
        <v>-4365.8999999999996</v>
      </c>
      <c r="O263" s="151">
        <f>+IF(OR($Q263=Parametres!$G$2,$Q263=Parametres!$G$3),J263,D263)</f>
        <v>-553.53</v>
      </c>
      <c r="P263" s="151">
        <f>+IF(OR($Q263=Parametres!$G$2,$Q263=Parametres!$G$3),K263,E263)</f>
        <v>-4919.43</v>
      </c>
      <c r="Q263" s="150" t="str">
        <f t="shared" si="22"/>
        <v>5-Ventes</v>
      </c>
      <c r="R263" s="149" t="str">
        <f t="shared" si="23"/>
        <v>462A</v>
      </c>
      <c r="S263" s="150" t="str">
        <f t="shared" si="24"/>
        <v>_</v>
      </c>
      <c r="T263" s="152" t="str">
        <f>+VLOOKUP($L263,Data_Validation!$A:$D,1,0)</f>
        <v>462L</v>
      </c>
      <c r="U263" s="152" t="str">
        <f>+VLOOKUP($L263,Data_Validation!$A:$D,3,0)</f>
        <v>Service</v>
      </c>
      <c r="V263" s="152" t="str">
        <f>+VLOOKUP($L263,Data_Validation!$A:$D,4,0)</f>
        <v>M/O Interne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2176</v>
      </c>
      <c r="B264" s="718" t="s">
        <v>2177</v>
      </c>
      <c r="C264" s="719">
        <v>-4103.68</v>
      </c>
      <c r="D264" s="719">
        <v>-208.5</v>
      </c>
      <c r="E264" s="719">
        <v>-4312.18</v>
      </c>
      <c r="F264" s="718" t="s">
        <v>2007</v>
      </c>
      <c r="G264" s="718" t="s">
        <v>1139</v>
      </c>
      <c r="H264" s="719" t="s">
        <v>2971</v>
      </c>
      <c r="I264" s="720"/>
      <c r="J264" s="720"/>
      <c r="K264" s="720"/>
      <c r="L264" s="149" t="str">
        <f t="shared" si="20"/>
        <v>462M</v>
      </c>
      <c r="M264" s="150" t="str">
        <f t="shared" si="21"/>
        <v>VTES -SUBLET INTERNE CAMION</v>
      </c>
      <c r="N264" s="151">
        <f>+IF(OR($Q264=Parametres!$G$2,$Q264=Parametres!$G$3),I264,C264)</f>
        <v>-4103.68</v>
      </c>
      <c r="O264" s="151">
        <f>+IF(OR($Q264=Parametres!$G$2,$Q264=Parametres!$G$3),J264,D264)</f>
        <v>-208.5</v>
      </c>
      <c r="P264" s="151">
        <f>+IF(OR($Q264=Parametres!$G$2,$Q264=Parametres!$G$3),K264,E264)</f>
        <v>-4312.18</v>
      </c>
      <c r="Q264" s="150" t="str">
        <f t="shared" si="22"/>
        <v>5-Ventes</v>
      </c>
      <c r="R264" s="149" t="str">
        <f t="shared" si="23"/>
        <v>462A</v>
      </c>
      <c r="S264" s="150" t="str">
        <f t="shared" si="24"/>
        <v>_</v>
      </c>
      <c r="T264" s="152" t="str">
        <f>+VLOOKUP($L264,Data_Validation!$A:$D,1,0)</f>
        <v>462M</v>
      </c>
      <c r="U264" s="152" t="str">
        <f>+VLOOKUP($L264,Data_Validation!$A:$D,3,0)</f>
        <v>Service</v>
      </c>
      <c r="V264" s="152" t="str">
        <f>+VLOOKUP($L264,Data_Validation!$A:$D,4,0)</f>
        <v>M/O Interne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2237</v>
      </c>
      <c r="B265" s="718" t="s">
        <v>2236</v>
      </c>
      <c r="C265" s="720">
        <v>-916.8</v>
      </c>
      <c r="D265" s="720">
        <v>0</v>
      </c>
      <c r="E265" s="720">
        <v>-916.8</v>
      </c>
      <c r="F265" s="718" t="s">
        <v>2007</v>
      </c>
      <c r="G265" s="718" t="s">
        <v>1139</v>
      </c>
      <c r="H265" s="666" t="s">
        <v>2971</v>
      </c>
      <c r="I265" s="665"/>
      <c r="J265" s="665"/>
      <c r="K265" s="665"/>
      <c r="L265" s="149" t="str">
        <f t="shared" si="20"/>
        <v>462N</v>
      </c>
      <c r="M265" s="150" t="str">
        <f t="shared" si="21"/>
        <v>VTES -SUBLET INTERNE ESTHETIQUE</v>
      </c>
      <c r="N265" s="151">
        <f>+IF(OR($Q265=Parametres!$G$2,$Q265=Parametres!$G$3),I265,C265)</f>
        <v>-916.8</v>
      </c>
      <c r="O265" s="151">
        <f>+IF(OR($Q265=Parametres!$G$2,$Q265=Parametres!$G$3),J265,D265)</f>
        <v>0</v>
      </c>
      <c r="P265" s="151">
        <f>+IF(OR($Q265=Parametres!$G$2,$Q265=Parametres!$G$3),K265,E265)</f>
        <v>-916.8</v>
      </c>
      <c r="Q265" s="150" t="str">
        <f t="shared" si="22"/>
        <v>5-Ventes</v>
      </c>
      <c r="R265" s="149" t="str">
        <f t="shared" si="23"/>
        <v>462A</v>
      </c>
      <c r="S265" s="150" t="str">
        <f t="shared" si="24"/>
        <v>_</v>
      </c>
      <c r="T265" s="152" t="str">
        <f>+VLOOKUP($L265,Data_Validation!$A:$D,1,0)</f>
        <v>462N</v>
      </c>
      <c r="U265" s="152" t="str">
        <f>+VLOOKUP($L265,Data_Validation!$A:$D,3,0)</f>
        <v>Service</v>
      </c>
      <c r="V265" s="152" t="str">
        <f>+VLOOKUP($L265,Data_Validation!$A:$D,4,0)</f>
        <v>M/O Interne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1154</v>
      </c>
      <c r="B266" s="718" t="s">
        <v>1143</v>
      </c>
      <c r="C266" s="720">
        <v>-9033.43</v>
      </c>
      <c r="D266" s="720">
        <v>-5018.7299999999996</v>
      </c>
      <c r="E266" s="720">
        <v>-14052.16</v>
      </c>
      <c r="F266" s="718" t="s">
        <v>2007</v>
      </c>
      <c r="G266" s="718" t="s">
        <v>1143</v>
      </c>
      <c r="H266" s="673" t="s">
        <v>2971</v>
      </c>
      <c r="I266" s="673"/>
      <c r="J266" s="673"/>
      <c r="K266" s="673"/>
      <c r="L266" s="149" t="str">
        <f t="shared" si="20"/>
        <v>463A</v>
      </c>
      <c r="M266" s="150" t="str">
        <f t="shared" si="21"/>
        <v>VTE - SOUS-TRAITANCE BMW AUTO</v>
      </c>
      <c r="N266" s="151">
        <f>+IF(OR($Q266=Parametres!$G$2,$Q266=Parametres!$G$3),I266,C266)</f>
        <v>-9033.43</v>
      </c>
      <c r="O266" s="504">
        <f>+IF(OR($Q266=Parametres!$G$2,$Q266=Parametres!$G$3),J266,D266)</f>
        <v>-5018.7299999999996</v>
      </c>
      <c r="P266" s="151">
        <f>+IF(OR($Q266=Parametres!$G$2,$Q266=Parametres!$G$3),K266,E266)</f>
        <v>-14052.16</v>
      </c>
      <c r="Q266" s="150" t="str">
        <f t="shared" si="22"/>
        <v>5-Ventes</v>
      </c>
      <c r="R266" s="149" t="str">
        <f t="shared" si="23"/>
        <v>463A</v>
      </c>
      <c r="S266" s="150" t="str">
        <f t="shared" si="24"/>
        <v>_</v>
      </c>
      <c r="T266" s="152" t="str">
        <f>+VLOOKUP($L266,Data_Validation!$A:$D,1,0)</f>
        <v>463A</v>
      </c>
      <c r="U266" s="152" t="str">
        <f>+VLOOKUP($L266,Data_Validation!$A:$D,3,0)</f>
        <v>service</v>
      </c>
      <c r="V266" s="152" t="str">
        <f>+VLOOKUP($L266,Data_Validation!$A:$D,4,0)</f>
        <v>Sous-traitement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1142</v>
      </c>
      <c r="B267" s="718" t="s">
        <v>454</v>
      </c>
      <c r="C267" s="720">
        <v>-5058.05</v>
      </c>
      <c r="D267" s="720">
        <v>-1977.05</v>
      </c>
      <c r="E267" s="720">
        <v>-7035.1</v>
      </c>
      <c r="F267" s="718" t="s">
        <v>2007</v>
      </c>
      <c r="G267" s="718" t="s">
        <v>1143</v>
      </c>
      <c r="H267" s="673" t="s">
        <v>2971</v>
      </c>
      <c r="I267" s="672"/>
      <c r="J267" s="672"/>
      <c r="K267" s="672"/>
      <c r="L267" s="149" t="str">
        <f t="shared" si="20"/>
        <v>463B</v>
      </c>
      <c r="M267" s="150" t="str">
        <f t="shared" si="21"/>
        <v>VTE - SOUS-TRAITANCE BMW CAMION</v>
      </c>
      <c r="N267" s="151">
        <f>+IF(OR($Q267=Parametres!$G$2,$Q267=Parametres!$G$3),I267,C267)</f>
        <v>-5058.05</v>
      </c>
      <c r="O267" s="151">
        <f>+IF(OR($Q267=Parametres!$G$2,$Q267=Parametres!$G$3),J267,D267)</f>
        <v>-1977.05</v>
      </c>
      <c r="P267" s="151">
        <f>+IF(OR($Q267=Parametres!$G$2,$Q267=Parametres!$G$3),K267,E267)</f>
        <v>-7035.1</v>
      </c>
      <c r="Q267" s="150" t="str">
        <f t="shared" si="22"/>
        <v>5-Ventes</v>
      </c>
      <c r="R267" s="149" t="str">
        <f t="shared" si="23"/>
        <v>463A</v>
      </c>
      <c r="S267" s="150" t="str">
        <f t="shared" si="24"/>
        <v>_</v>
      </c>
      <c r="T267" s="152" t="str">
        <f>+VLOOKUP($L267,Data_Validation!$A:$D,1,0)</f>
        <v>463B</v>
      </c>
      <c r="U267" s="152" t="str">
        <f>+VLOOKUP($L267,Data_Validation!$A:$D,3,0)</f>
        <v>service</v>
      </c>
      <c r="V267" s="152" t="str">
        <f>+VLOOKUP($L267,Data_Validation!$A:$D,4,0)</f>
        <v>Sous-traitement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472</v>
      </c>
      <c r="B268" s="718" t="s">
        <v>473</v>
      </c>
      <c r="C268" s="720">
        <v>-1396.95</v>
      </c>
      <c r="D268" s="720">
        <v>-297</v>
      </c>
      <c r="E268" s="720">
        <v>-1693.95</v>
      </c>
      <c r="F268" s="718" t="s">
        <v>2007</v>
      </c>
      <c r="G268" s="718" t="s">
        <v>1143</v>
      </c>
      <c r="H268" s="673" t="s">
        <v>2971</v>
      </c>
      <c r="I268" s="673"/>
      <c r="J268" s="673"/>
      <c r="K268" s="673"/>
      <c r="L268" s="149" t="str">
        <f t="shared" si="20"/>
        <v>463D</v>
      </c>
      <c r="M268" s="150" t="str">
        <f t="shared" si="21"/>
        <v>VTE - SOUS-TRAITANCE BMW I</v>
      </c>
      <c r="N268" s="151">
        <f>+IF(OR($Q268=Parametres!$G$2,$Q268=Parametres!$G$3),I268,C268)</f>
        <v>-1396.95</v>
      </c>
      <c r="O268" s="151">
        <f>+IF(OR($Q268=Parametres!$G$2,$Q268=Parametres!$G$3),J268,D268)</f>
        <v>-297</v>
      </c>
      <c r="P268" s="151">
        <f>+IF(OR($Q268=Parametres!$G$2,$Q268=Parametres!$G$3),K268,E268)</f>
        <v>-1693.95</v>
      </c>
      <c r="Q268" s="150" t="str">
        <f t="shared" si="22"/>
        <v>5-Ventes</v>
      </c>
      <c r="R268" s="149" t="str">
        <f t="shared" si="23"/>
        <v>463A</v>
      </c>
      <c r="S268" s="150" t="str">
        <f t="shared" si="24"/>
        <v>_</v>
      </c>
      <c r="T268" s="152" t="str">
        <f>+VLOOKUP($L268,Data_Validation!$A:$D,1,0)</f>
        <v>463D</v>
      </c>
      <c r="U268" s="152" t="str">
        <f>+VLOOKUP($L268,Data_Validation!$A:$D,3,0)</f>
        <v>service</v>
      </c>
      <c r="V268" s="152" t="str">
        <f>+VLOOKUP($L268,Data_Validation!$A:$D,4,0)</f>
        <v>Sous-traitement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1119</v>
      </c>
      <c r="B269" s="718" t="s">
        <v>1120</v>
      </c>
      <c r="C269" s="720">
        <v>-41739.300000000003</v>
      </c>
      <c r="D269" s="720">
        <v>-32374.14</v>
      </c>
      <c r="E269" s="720">
        <v>-74113.440000000002</v>
      </c>
      <c r="F269" s="718" t="s">
        <v>2007</v>
      </c>
      <c r="G269" s="718" t="s">
        <v>1120</v>
      </c>
      <c r="H269" s="673" t="s">
        <v>2971</v>
      </c>
      <c r="I269" s="672"/>
      <c r="J269" s="672"/>
      <c r="K269" s="672"/>
      <c r="L269" s="149" t="str">
        <f t="shared" si="20"/>
        <v>470A</v>
      </c>
      <c r="M269" s="150" t="str">
        <f t="shared" si="21"/>
        <v>VTE - PIECES BT CLIENT BMW AUTO</v>
      </c>
      <c r="N269" s="151">
        <f>+IF(OR($Q269=Parametres!$G$2,$Q269=Parametres!$G$3),I269,C269)</f>
        <v>-41739.300000000003</v>
      </c>
      <c r="O269" s="151">
        <f>+IF(OR($Q269=Parametres!$G$2,$Q269=Parametres!$G$3),J269,D269)</f>
        <v>-32374.14</v>
      </c>
      <c r="P269" s="151">
        <f>+IF(OR($Q269=Parametres!$G$2,$Q269=Parametres!$G$3),K269,E269)</f>
        <v>-74113.440000000002</v>
      </c>
      <c r="Q269" s="150" t="str">
        <f t="shared" si="22"/>
        <v>5-Ventes</v>
      </c>
      <c r="R269" s="149" t="str">
        <f t="shared" si="23"/>
        <v>470A</v>
      </c>
      <c r="S269" s="150" t="str">
        <f t="shared" si="24"/>
        <v>_</v>
      </c>
      <c r="T269" s="152" t="str">
        <f>+VLOOKUP($L269,Data_Validation!$A:$D,1,0)</f>
        <v>470A</v>
      </c>
      <c r="U269" s="152" t="str">
        <f>+VLOOKUP($L269,Data_Validation!$A:$D,3,0)</f>
        <v>Pièces</v>
      </c>
      <c r="V269" s="152" t="str">
        <f>+VLOOKUP($L269,Data_Validation!$A:$D,4,0)</f>
        <v>Pièces Ro Clients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1135</v>
      </c>
      <c r="B270" s="718" t="s">
        <v>429</v>
      </c>
      <c r="C270" s="719">
        <v>-101912.1</v>
      </c>
      <c r="D270" s="719">
        <v>-30116.98</v>
      </c>
      <c r="E270" s="719">
        <v>-132029.07999999999</v>
      </c>
      <c r="F270" s="718" t="s">
        <v>2007</v>
      </c>
      <c r="G270" s="718" t="s">
        <v>1120</v>
      </c>
      <c r="H270" s="719" t="s">
        <v>2971</v>
      </c>
      <c r="I270" s="720"/>
      <c r="J270" s="720"/>
      <c r="K270" s="720"/>
      <c r="L270" s="149" t="str">
        <f t="shared" si="20"/>
        <v>470B</v>
      </c>
      <c r="M270" s="150" t="str">
        <f t="shared" si="21"/>
        <v>VTE - PIECES BT CLIENT BMW CAMION</v>
      </c>
      <c r="N270" s="151">
        <f>+IF(OR($Q270=Parametres!$G$2,$Q270=Parametres!$G$3),I270,C270)</f>
        <v>-101912.1</v>
      </c>
      <c r="O270" s="151">
        <f>+IF(OR($Q270=Parametres!$G$2,$Q270=Parametres!$G$3),J270,D270)</f>
        <v>-30116.98</v>
      </c>
      <c r="P270" s="151">
        <f>+IF(OR($Q270=Parametres!$G$2,$Q270=Parametres!$G$3),K270,E270)</f>
        <v>-132029.07999999999</v>
      </c>
      <c r="Q270" s="150" t="str">
        <f t="shared" si="22"/>
        <v>5-Ventes</v>
      </c>
      <c r="R270" s="149" t="str">
        <f t="shared" si="23"/>
        <v>470A</v>
      </c>
      <c r="S270" s="150" t="str">
        <f t="shared" si="24"/>
        <v>_</v>
      </c>
      <c r="T270" s="152" t="str">
        <f>+VLOOKUP($L270,Data_Validation!$A:$D,1,0)</f>
        <v>470B</v>
      </c>
      <c r="U270" s="152" t="str">
        <f>+VLOOKUP($L270,Data_Validation!$A:$D,3,0)</f>
        <v>Pièces</v>
      </c>
      <c r="V270" s="152" t="str">
        <f>+VLOOKUP($L270,Data_Validation!$A:$D,4,0)</f>
        <v>Pièces Ro Clients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1238</v>
      </c>
      <c r="B271" s="718" t="s">
        <v>457</v>
      </c>
      <c r="C271" s="719">
        <v>-3286.87</v>
      </c>
      <c r="D271" s="719">
        <v>-2226.61</v>
      </c>
      <c r="E271" s="719">
        <v>-5513.48</v>
      </c>
      <c r="F271" s="718" t="s">
        <v>2007</v>
      </c>
      <c r="G271" s="718" t="s">
        <v>1120</v>
      </c>
      <c r="H271" s="719" t="s">
        <v>2971</v>
      </c>
      <c r="I271" s="720"/>
      <c r="J271" s="720"/>
      <c r="K271" s="720"/>
      <c r="L271" s="149" t="str">
        <f t="shared" si="20"/>
        <v>470D</v>
      </c>
      <c r="M271" s="150" t="str">
        <f t="shared" si="21"/>
        <v>VTE - PIECES BT CLIENT BMW I</v>
      </c>
      <c r="N271" s="151">
        <f>+IF(OR($Q271=Parametres!$G$2,$Q271=Parametres!$G$3),I271,C271)</f>
        <v>-3286.87</v>
      </c>
      <c r="O271" s="151">
        <f>+IF(OR($Q271=Parametres!$G$2,$Q271=Parametres!$G$3),J271,D271)</f>
        <v>-2226.61</v>
      </c>
      <c r="P271" s="151">
        <f>+IF(OR($Q271=Parametres!$G$2,$Q271=Parametres!$G$3),K271,E271)</f>
        <v>-5513.48</v>
      </c>
      <c r="Q271" s="150" t="str">
        <f t="shared" si="22"/>
        <v>5-Ventes</v>
      </c>
      <c r="R271" s="149" t="str">
        <f t="shared" si="23"/>
        <v>470A</v>
      </c>
      <c r="S271" s="150" t="str">
        <f t="shared" si="24"/>
        <v>_</v>
      </c>
      <c r="T271" s="152" t="str">
        <f>+VLOOKUP($L271,Data_Validation!$A:$D,1,0)</f>
        <v>470D</v>
      </c>
      <c r="U271" s="152" t="str">
        <f>+VLOOKUP($L271,Data_Validation!$A:$D,3,0)</f>
        <v>Pièces</v>
      </c>
      <c r="V271" s="152" t="str">
        <f>+VLOOKUP($L271,Data_Validation!$A:$D,4,0)</f>
        <v>Pièces Ro Clients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2422</v>
      </c>
      <c r="B272" s="718" t="s">
        <v>2423</v>
      </c>
      <c r="C272" s="720">
        <v>-507.77</v>
      </c>
      <c r="D272" s="720">
        <v>0</v>
      </c>
      <c r="E272" s="720">
        <v>-507.77</v>
      </c>
      <c r="F272" s="718" t="s">
        <v>2007</v>
      </c>
      <c r="G272" s="718" t="s">
        <v>2083</v>
      </c>
      <c r="H272" s="673" t="s">
        <v>2971</v>
      </c>
      <c r="I272" s="672"/>
      <c r="J272" s="672"/>
      <c r="K272" s="672"/>
      <c r="L272" s="149" t="str">
        <f t="shared" si="20"/>
        <v>471B</v>
      </c>
      <c r="M272" s="150" t="str">
        <f t="shared" si="21"/>
        <v>VTE - PIECES BT CARROSS. BMW CAMION</v>
      </c>
      <c r="N272" s="151">
        <f>+IF(OR($Q272=Parametres!$G$2,$Q272=Parametres!$G$3),I272,C272)</f>
        <v>-507.77</v>
      </c>
      <c r="O272" s="151">
        <f>+IF(OR($Q272=Parametres!$G$2,$Q272=Parametres!$G$3),J272,D272)</f>
        <v>0</v>
      </c>
      <c r="P272" s="151">
        <f>+IF(OR($Q272=Parametres!$G$2,$Q272=Parametres!$G$3),K272,E272)</f>
        <v>-507.77</v>
      </c>
      <c r="Q272" s="150" t="str">
        <f t="shared" si="22"/>
        <v>5-Ventes</v>
      </c>
      <c r="R272" s="149" t="str">
        <f t="shared" si="23"/>
        <v>471A</v>
      </c>
      <c r="S272" s="150" t="str">
        <f t="shared" si="24"/>
        <v>_</v>
      </c>
      <c r="T272" s="152" t="str">
        <f>+VLOOKUP($L272,Data_Validation!$A:$D,1,0)</f>
        <v>471B</v>
      </c>
      <c r="U272" s="152" t="str">
        <f>+VLOOKUP($L272,Data_Validation!$A:$D,3,0)</f>
        <v>Pièces</v>
      </c>
      <c r="V272" s="152" t="str">
        <f>+VLOOKUP($L272,Data_Validation!$A:$D,4,0)</f>
        <v>Pièces Ro Carrosserie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1095</v>
      </c>
      <c r="B273" s="718" t="s">
        <v>1096</v>
      </c>
      <c r="C273" s="719">
        <v>-59775.28</v>
      </c>
      <c r="D273" s="719">
        <v>-14966.33</v>
      </c>
      <c r="E273" s="719">
        <v>-74741.61</v>
      </c>
      <c r="F273" s="718" t="s">
        <v>2007</v>
      </c>
      <c r="G273" s="718" t="s">
        <v>1096</v>
      </c>
      <c r="H273" s="719" t="s">
        <v>2971</v>
      </c>
      <c r="I273" s="720"/>
      <c r="J273" s="720"/>
      <c r="K273" s="720"/>
      <c r="L273" s="149" t="str">
        <f t="shared" si="20"/>
        <v>472A</v>
      </c>
      <c r="M273" s="150" t="str">
        <f t="shared" si="21"/>
        <v>VTE - PIECES GARANTIE BMW AUTO</v>
      </c>
      <c r="N273" s="151">
        <f>+IF(OR($Q273=Parametres!$G$2,$Q273=Parametres!$G$3),I273,C273)</f>
        <v>-59775.28</v>
      </c>
      <c r="O273" s="151">
        <f>+IF(OR($Q273=Parametres!$G$2,$Q273=Parametres!$G$3),J273,D273)</f>
        <v>-14966.33</v>
      </c>
      <c r="P273" s="151">
        <f>+IF(OR($Q273=Parametres!$G$2,$Q273=Parametres!$G$3),K273,E273)</f>
        <v>-74741.61</v>
      </c>
      <c r="Q273" s="150" t="str">
        <f t="shared" si="22"/>
        <v>5-Ventes</v>
      </c>
      <c r="R273" s="149" t="str">
        <f t="shared" si="23"/>
        <v>472A</v>
      </c>
      <c r="S273" s="150" t="str">
        <f t="shared" si="24"/>
        <v>_</v>
      </c>
      <c r="T273" s="152" t="str">
        <f>+VLOOKUP($L273,Data_Validation!$A:$D,1,0)</f>
        <v>472A</v>
      </c>
      <c r="U273" s="152" t="str">
        <f>+VLOOKUP($L273,Data_Validation!$A:$D,3,0)</f>
        <v>pièces</v>
      </c>
      <c r="V273" s="152" t="str">
        <f>+VLOOKUP($L273,Data_Validation!$A:$D,4,0)</f>
        <v>P/A Garantie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1099</v>
      </c>
      <c r="B274" s="718" t="s">
        <v>465</v>
      </c>
      <c r="C274" s="720">
        <v>-67239.11</v>
      </c>
      <c r="D274" s="720">
        <v>-33407.17</v>
      </c>
      <c r="E274" s="720">
        <v>-100646.28</v>
      </c>
      <c r="F274" s="718" t="s">
        <v>2007</v>
      </c>
      <c r="G274" s="718" t="s">
        <v>1096</v>
      </c>
      <c r="H274" s="673" t="s">
        <v>2971</v>
      </c>
      <c r="I274" s="672"/>
      <c r="J274" s="672"/>
      <c r="K274" s="672"/>
      <c r="L274" s="149" t="str">
        <f t="shared" si="20"/>
        <v>472B</v>
      </c>
      <c r="M274" s="150" t="str">
        <f t="shared" si="21"/>
        <v>VTE - PIECES GARANTIE BMW CAMION</v>
      </c>
      <c r="N274" s="151">
        <f>+IF(OR($Q274=Parametres!$G$2,$Q274=Parametres!$G$3),I274,C274)</f>
        <v>-67239.11</v>
      </c>
      <c r="O274" s="151">
        <f>+IF(OR($Q274=Parametres!$G$2,$Q274=Parametres!$G$3),J274,D274)</f>
        <v>-33407.17</v>
      </c>
      <c r="P274" s="151">
        <f>+IF(OR($Q274=Parametres!$G$2,$Q274=Parametres!$G$3),K274,E274)</f>
        <v>-100646.28</v>
      </c>
      <c r="Q274" s="150" t="str">
        <f t="shared" si="22"/>
        <v>5-Ventes</v>
      </c>
      <c r="R274" s="149" t="str">
        <f t="shared" si="23"/>
        <v>472A</v>
      </c>
      <c r="S274" s="150" t="str">
        <f t="shared" si="24"/>
        <v>_</v>
      </c>
      <c r="T274" s="152" t="str">
        <f>+VLOOKUP($L274,Data_Validation!$A:$D,1,0)</f>
        <v>472B</v>
      </c>
      <c r="U274" s="152" t="str">
        <f>+VLOOKUP($L274,Data_Validation!$A:$D,3,0)</f>
        <v>pièces</v>
      </c>
      <c r="V274" s="152" t="str">
        <f>+VLOOKUP($L274,Data_Validation!$A:$D,4,0)</f>
        <v>P/A Garantie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1179</v>
      </c>
      <c r="B275" s="671" t="s">
        <v>434</v>
      </c>
      <c r="C275" s="672">
        <v>-5831.14</v>
      </c>
      <c r="D275" s="672">
        <v>-1421.61</v>
      </c>
      <c r="E275" s="672">
        <v>-7252.75</v>
      </c>
      <c r="F275" s="671" t="s">
        <v>2007</v>
      </c>
      <c r="G275" s="671" t="s">
        <v>434</v>
      </c>
      <c r="H275" s="666" t="s">
        <v>2971</v>
      </c>
      <c r="I275" s="665"/>
      <c r="J275" s="665"/>
      <c r="K275" s="665"/>
      <c r="L275" s="149" t="str">
        <f t="shared" si="20"/>
        <v>472D</v>
      </c>
      <c r="M275" s="150" t="str">
        <f t="shared" si="21"/>
        <v>VTE - PIECES ENTRETIEN BMW AUTO</v>
      </c>
      <c r="N275" s="151">
        <f>+IF(OR($Q275=Parametres!$G$2,$Q275=Parametres!$G$3),I275,C275)</f>
        <v>-5831.14</v>
      </c>
      <c r="O275" s="151">
        <f>+IF(OR($Q275=Parametres!$G$2,$Q275=Parametres!$G$3),J275,D275)</f>
        <v>-1421.61</v>
      </c>
      <c r="P275" s="151">
        <f>+IF(OR($Q275=Parametres!$G$2,$Q275=Parametres!$G$3),K275,E275)</f>
        <v>-7252.75</v>
      </c>
      <c r="Q275" s="150" t="str">
        <f t="shared" si="22"/>
        <v>5-Ventes</v>
      </c>
      <c r="R275" s="149" t="str">
        <f t="shared" si="23"/>
        <v>472D</v>
      </c>
      <c r="S275" s="150" t="str">
        <f t="shared" si="24"/>
        <v>_</v>
      </c>
      <c r="T275" s="152" t="str">
        <f>+VLOOKUP($L275,Data_Validation!$A:$D,1,0)</f>
        <v>472D</v>
      </c>
      <c r="U275" s="152" t="str">
        <f>+VLOOKUP($L275,Data_Validation!$A:$D,3,0)</f>
        <v>pièces</v>
      </c>
      <c r="V275" s="152" t="str">
        <f>+VLOOKUP($L275,Data_Validation!$A:$D,4,0)</f>
        <v>P/A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1149</v>
      </c>
      <c r="B276" s="718" t="s">
        <v>464</v>
      </c>
      <c r="C276" s="720">
        <v>-13754.27</v>
      </c>
      <c r="D276" s="720">
        <v>-4988.76</v>
      </c>
      <c r="E276" s="720">
        <v>-18743.03</v>
      </c>
      <c r="F276" s="718" t="s">
        <v>2007</v>
      </c>
      <c r="G276" s="718" t="s">
        <v>434</v>
      </c>
      <c r="H276" s="673" t="s">
        <v>2971</v>
      </c>
      <c r="I276" s="672"/>
      <c r="J276" s="672"/>
      <c r="K276" s="672"/>
      <c r="L276" s="149" t="str">
        <f t="shared" si="20"/>
        <v>472E</v>
      </c>
      <c r="M276" s="150" t="str">
        <f t="shared" si="21"/>
        <v>VTE - PIECES ENTRETIEN BMW CAMION</v>
      </c>
      <c r="N276" s="151">
        <f>+IF(OR($Q276=Parametres!$G$2,$Q276=Parametres!$G$3),I276,C276)</f>
        <v>-13754.27</v>
      </c>
      <c r="O276" s="151">
        <f>+IF(OR($Q276=Parametres!$G$2,$Q276=Parametres!$G$3),J276,D276)</f>
        <v>-4988.76</v>
      </c>
      <c r="P276" s="151">
        <f>+IF(OR($Q276=Parametres!$G$2,$Q276=Parametres!$G$3),K276,E276)</f>
        <v>-18743.03</v>
      </c>
      <c r="Q276" s="150" t="str">
        <f t="shared" si="22"/>
        <v>5-Ventes</v>
      </c>
      <c r="R276" s="149" t="str">
        <f t="shared" si="23"/>
        <v>472D</v>
      </c>
      <c r="S276" s="150" t="str">
        <f t="shared" si="24"/>
        <v>_</v>
      </c>
      <c r="T276" s="152" t="str">
        <f>+VLOOKUP($L276,Data_Validation!$A:$D,1,0)</f>
        <v>472E</v>
      </c>
      <c r="U276" s="152" t="str">
        <f>+VLOOKUP($L276,Data_Validation!$A:$D,3,0)</f>
        <v>pièces</v>
      </c>
      <c r="V276" s="152" t="str">
        <f>+VLOOKUP($L276,Data_Validation!$A:$D,4,0)</f>
        <v>P/A Garantie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1230</v>
      </c>
      <c r="B277" s="671" t="s">
        <v>470</v>
      </c>
      <c r="C277" s="672">
        <v>-701.45</v>
      </c>
      <c r="D277" s="672">
        <v>-1107.55</v>
      </c>
      <c r="E277" s="672">
        <v>-1809</v>
      </c>
      <c r="F277" s="671" t="s">
        <v>2007</v>
      </c>
      <c r="G277" s="671" t="s">
        <v>434</v>
      </c>
      <c r="H277" s="666" t="s">
        <v>2971</v>
      </c>
      <c r="I277" s="665"/>
      <c r="J277" s="665"/>
      <c r="K277" s="665"/>
      <c r="L277" s="149" t="str">
        <f t="shared" si="20"/>
        <v>472G</v>
      </c>
      <c r="M277" s="150" t="str">
        <f t="shared" si="21"/>
        <v>VTE - PIECES ENTRETIEN BMW I</v>
      </c>
      <c r="N277" s="151">
        <f>+IF(OR($Q277=Parametres!$G$2,$Q277=Parametres!$G$3),I277,C277)</f>
        <v>-701.45</v>
      </c>
      <c r="O277" s="151">
        <f>+IF(OR($Q277=Parametres!$G$2,$Q277=Parametres!$G$3),J277,D277)</f>
        <v>-1107.55</v>
      </c>
      <c r="P277" s="151">
        <f>+IF(OR($Q277=Parametres!$G$2,$Q277=Parametres!$G$3),K277,E277)</f>
        <v>-1809</v>
      </c>
      <c r="Q277" s="150" t="str">
        <f t="shared" si="22"/>
        <v>5-Ventes</v>
      </c>
      <c r="R277" s="149" t="str">
        <f t="shared" si="23"/>
        <v>472D</v>
      </c>
      <c r="S277" s="150" t="str">
        <f t="shared" si="24"/>
        <v>_</v>
      </c>
      <c r="T277" s="152" t="str">
        <f>+VLOOKUP($L277,Data_Validation!$A:$D,1,0)</f>
        <v>472G</v>
      </c>
      <c r="U277" s="152" t="str">
        <f>+VLOOKUP($L277,Data_Validation!$A:$D,3,0)</f>
        <v>pièces</v>
      </c>
      <c r="V277" s="152" t="str">
        <f>+VLOOKUP($L277,Data_Validation!$A:$D,4,0)</f>
        <v>P/A Garantie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1027</v>
      </c>
      <c r="B278" s="671" t="s">
        <v>634</v>
      </c>
      <c r="C278" s="672">
        <v>-49002.63</v>
      </c>
      <c r="D278" s="672">
        <v>-508.3</v>
      </c>
      <c r="E278" s="672">
        <v>-49510.93</v>
      </c>
      <c r="F278" s="671" t="s">
        <v>2007</v>
      </c>
      <c r="G278" s="671" t="s">
        <v>1096</v>
      </c>
      <c r="H278" s="666" t="s">
        <v>2971</v>
      </c>
      <c r="I278" s="665"/>
      <c r="J278" s="665"/>
      <c r="K278" s="665"/>
      <c r="L278" s="149" t="str">
        <f t="shared" si="20"/>
        <v>472H</v>
      </c>
      <c r="M278" s="150" t="str">
        <f t="shared" si="21"/>
        <v>VTE - PIECES GARANTIE BMW I</v>
      </c>
      <c r="N278" s="151">
        <f>+IF(OR($Q278=Parametres!$G$2,$Q278=Parametres!$G$3),I278,C278)</f>
        <v>-49002.63</v>
      </c>
      <c r="O278" s="151">
        <f>+IF(OR($Q278=Parametres!$G$2,$Q278=Parametres!$G$3),J278,D278)</f>
        <v>-508.3</v>
      </c>
      <c r="P278" s="151">
        <f>+IF(OR($Q278=Parametres!$G$2,$Q278=Parametres!$G$3),K278,E278)</f>
        <v>-49510.93</v>
      </c>
      <c r="Q278" s="150" t="str">
        <f t="shared" si="22"/>
        <v>5-Ventes</v>
      </c>
      <c r="R278" s="149" t="str">
        <f t="shared" si="23"/>
        <v>472A</v>
      </c>
      <c r="S278" s="150" t="str">
        <f t="shared" si="24"/>
        <v>_</v>
      </c>
      <c r="T278" s="152" t="str">
        <f>+VLOOKUP($L278,Data_Validation!$A:$D,1,0)</f>
        <v>472H</v>
      </c>
      <c r="U278" s="152" t="str">
        <f>+VLOOKUP($L278,Data_Validation!$A:$D,3,0)</f>
        <v>pièces</v>
      </c>
      <c r="V278" s="152" t="str">
        <f>+VLOOKUP($L278,Data_Validation!$A:$D,4,0)</f>
        <v>P/A Garantie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1148</v>
      </c>
      <c r="B279" s="718" t="s">
        <v>1132</v>
      </c>
      <c r="C279" s="720">
        <v>-20650.7</v>
      </c>
      <c r="D279" s="720">
        <v>-13902.61</v>
      </c>
      <c r="E279" s="720">
        <v>-34553.31</v>
      </c>
      <c r="F279" s="718" t="s">
        <v>2007</v>
      </c>
      <c r="G279" s="718" t="s">
        <v>1132</v>
      </c>
      <c r="H279" s="666" t="s">
        <v>2971</v>
      </c>
      <c r="I279" s="665"/>
      <c r="J279" s="665"/>
      <c r="K279" s="665"/>
      <c r="L279" s="149" t="str">
        <f t="shared" si="20"/>
        <v>473A</v>
      </c>
      <c r="M279" s="150" t="str">
        <f t="shared" si="21"/>
        <v>VTE - PIECES INTERNE BMW AUTO</v>
      </c>
      <c r="N279" s="151">
        <f>+IF(OR($Q279=Parametres!$G$2,$Q279=Parametres!$G$3),I279,C279)</f>
        <v>-20650.7</v>
      </c>
      <c r="O279" s="151">
        <f>+IF(OR($Q279=Parametres!$G$2,$Q279=Parametres!$G$3),J279,D279)</f>
        <v>-13902.61</v>
      </c>
      <c r="P279" s="151">
        <f>+IF(OR($Q279=Parametres!$G$2,$Q279=Parametres!$G$3),K279,E279)</f>
        <v>-34553.31</v>
      </c>
      <c r="Q279" s="150" t="str">
        <f t="shared" si="22"/>
        <v>5-Ventes</v>
      </c>
      <c r="R279" s="149" t="str">
        <f t="shared" si="23"/>
        <v>473A</v>
      </c>
      <c r="S279" s="150" t="str">
        <f t="shared" si="24"/>
        <v>_</v>
      </c>
      <c r="T279" s="152" t="str">
        <f>+VLOOKUP($L279,Data_Validation!$A:$D,1,0)</f>
        <v>473A</v>
      </c>
      <c r="U279" s="152" t="str">
        <f>+VLOOKUP($L279,Data_Validation!$A:$D,3,0)</f>
        <v>pièces</v>
      </c>
      <c r="V279" s="152" t="str">
        <f>+VLOOKUP($L279,Data_Validation!$A:$D,4,0)</f>
        <v>Ventes Internes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1131</v>
      </c>
      <c r="B280" s="718" t="s">
        <v>449</v>
      </c>
      <c r="C280" s="720">
        <v>-19745.54</v>
      </c>
      <c r="D280" s="720">
        <v>-5318.69</v>
      </c>
      <c r="E280" s="720">
        <v>-25064.23</v>
      </c>
      <c r="F280" s="718" t="s">
        <v>2007</v>
      </c>
      <c r="G280" s="718" t="s">
        <v>1132</v>
      </c>
      <c r="H280" s="609" t="s">
        <v>2971</v>
      </c>
      <c r="I280" s="608"/>
      <c r="J280" s="608"/>
      <c r="K280" s="608"/>
      <c r="L280" s="149" t="str">
        <f t="shared" si="20"/>
        <v>473B</v>
      </c>
      <c r="M280" s="150" t="str">
        <f t="shared" si="21"/>
        <v>VTE - PIECES INTERNE BMW CAMION</v>
      </c>
      <c r="N280" s="151">
        <f>+IF(OR($Q280=Parametres!$G$2,$Q280=Parametres!$G$3),I280,C280)</f>
        <v>-19745.54</v>
      </c>
      <c r="O280" s="151">
        <f>+IF(OR($Q280=Parametres!$G$2,$Q280=Parametres!$G$3),J280,D280)</f>
        <v>-5318.69</v>
      </c>
      <c r="P280" s="151">
        <f>+IF(OR($Q280=Parametres!$G$2,$Q280=Parametres!$G$3),K280,E280)</f>
        <v>-25064.23</v>
      </c>
      <c r="Q280" s="150" t="str">
        <f t="shared" si="22"/>
        <v>5-Ventes</v>
      </c>
      <c r="R280" s="149" t="str">
        <f t="shared" si="23"/>
        <v>473A</v>
      </c>
      <c r="S280" s="150" t="str">
        <f t="shared" si="24"/>
        <v>_</v>
      </c>
      <c r="T280" s="152" t="str">
        <f>+VLOOKUP($L280,Data_Validation!$A:$D,1,0)</f>
        <v>473B</v>
      </c>
      <c r="U280" s="152" t="str">
        <f>+VLOOKUP($L280,Data_Validation!$A:$D,3,0)</f>
        <v>pièces</v>
      </c>
      <c r="V280" s="152" t="str">
        <f>+VLOOKUP($L280,Data_Validation!$A:$D,4,0)</f>
        <v>Ventes Internes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635</v>
      </c>
      <c r="B281" s="718" t="s">
        <v>636</v>
      </c>
      <c r="C281" s="720">
        <v>-1817.26</v>
      </c>
      <c r="D281" s="720">
        <v>-911.32</v>
      </c>
      <c r="E281" s="720">
        <v>-2728.58</v>
      </c>
      <c r="F281" s="718" t="s">
        <v>2007</v>
      </c>
      <c r="G281" s="718" t="s">
        <v>1132</v>
      </c>
      <c r="H281" s="673" t="s">
        <v>2971</v>
      </c>
      <c r="I281" s="672"/>
      <c r="J281" s="672"/>
      <c r="K281" s="672"/>
      <c r="L281" s="149" t="str">
        <f t="shared" si="20"/>
        <v>473D</v>
      </c>
      <c r="M281" s="150" t="str">
        <f t="shared" si="21"/>
        <v>VTE - PIECES INTERNE BMW I</v>
      </c>
      <c r="N281" s="151">
        <f>+IF(OR($Q281=Parametres!$G$2,$Q281=Parametres!$G$3),I281,C281)</f>
        <v>-1817.26</v>
      </c>
      <c r="O281" s="151">
        <f>+IF(OR($Q281=Parametres!$G$2,$Q281=Parametres!$G$3),J281,D281)</f>
        <v>-911.32</v>
      </c>
      <c r="P281" s="151">
        <f>+IF(OR($Q281=Parametres!$G$2,$Q281=Parametres!$G$3),K281,E281)</f>
        <v>-2728.58</v>
      </c>
      <c r="Q281" s="150" t="str">
        <f t="shared" si="22"/>
        <v>5-Ventes</v>
      </c>
      <c r="R281" s="149" t="str">
        <f t="shared" si="23"/>
        <v>473A</v>
      </c>
      <c r="S281" s="150" t="str">
        <f t="shared" si="24"/>
        <v>_</v>
      </c>
      <c r="T281" s="152" t="str">
        <f>+VLOOKUP($L281,Data_Validation!$A:$D,1,0)</f>
        <v>473D</v>
      </c>
      <c r="U281" s="152" t="str">
        <f>+VLOOKUP($L281,Data_Validation!$A:$D,3,0)</f>
        <v>pièces</v>
      </c>
      <c r="V281" s="152" t="str">
        <f>+VLOOKUP($L281,Data_Validation!$A:$D,4,0)</f>
        <v>Ventes Internes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1117</v>
      </c>
      <c r="B282" s="718" t="s">
        <v>1118</v>
      </c>
      <c r="C282" s="720">
        <v>-27600.62</v>
      </c>
      <c r="D282" s="720">
        <v>-13980.99</v>
      </c>
      <c r="E282" s="720">
        <v>-41581.61</v>
      </c>
      <c r="F282" s="718" t="s">
        <v>2007</v>
      </c>
      <c r="G282" s="718" t="s">
        <v>1118</v>
      </c>
      <c r="H282" s="673" t="s">
        <v>2971</v>
      </c>
      <c r="I282" s="672"/>
      <c r="J282" s="672"/>
      <c r="K282" s="672"/>
      <c r="L282" s="149" t="str">
        <f t="shared" si="20"/>
        <v>474A</v>
      </c>
      <c r="M282" s="150" t="str">
        <f t="shared" si="21"/>
        <v>VTE - PIECES COMPTOIR BMW AUTO</v>
      </c>
      <c r="N282" s="151">
        <f>+IF(OR($Q282=Parametres!$G$2,$Q282=Parametres!$G$3),I282,C282)</f>
        <v>-27600.62</v>
      </c>
      <c r="O282" s="151">
        <f>+IF(OR($Q282=Parametres!$G$2,$Q282=Parametres!$G$3),J282,D282)</f>
        <v>-13980.99</v>
      </c>
      <c r="P282" s="151">
        <f>+IF(OR($Q282=Parametres!$G$2,$Q282=Parametres!$G$3),K282,E282)</f>
        <v>-41581.61</v>
      </c>
      <c r="Q282" s="150" t="str">
        <f t="shared" si="22"/>
        <v>5-Ventes</v>
      </c>
      <c r="R282" s="149" t="str">
        <f t="shared" si="23"/>
        <v>474A</v>
      </c>
      <c r="S282" s="150" t="str">
        <f t="shared" si="24"/>
        <v>_</v>
      </c>
      <c r="T282" s="152" t="str">
        <f>+VLOOKUP($L282,Data_Validation!$A:$D,1,0)</f>
        <v>474A</v>
      </c>
      <c r="U282" s="152" t="str">
        <f>+VLOOKUP($L282,Data_Validation!$A:$D,3,0)</f>
        <v>pièces</v>
      </c>
      <c r="V282" s="152" t="str">
        <f>+VLOOKUP($L282,Data_Validation!$A:$D,4,0)</f>
        <v>Ventes Détails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1187</v>
      </c>
      <c r="B283" s="718" t="s">
        <v>460</v>
      </c>
      <c r="C283" s="720">
        <v>-946.64</v>
      </c>
      <c r="D283" s="720">
        <v>-2713.34</v>
      </c>
      <c r="E283" s="720">
        <v>-3659.98</v>
      </c>
      <c r="F283" s="718" t="s">
        <v>2007</v>
      </c>
      <c r="G283" s="718" t="s">
        <v>1118</v>
      </c>
      <c r="H283" s="673" t="s">
        <v>2971</v>
      </c>
      <c r="I283" s="672"/>
      <c r="J283" s="672"/>
      <c r="K283" s="672"/>
      <c r="L283" s="149" t="str">
        <f t="shared" si="20"/>
        <v>474D</v>
      </c>
      <c r="M283" s="150" t="str">
        <f t="shared" si="21"/>
        <v>VTE - PIECES COMP. BMW LIFESTYLE</v>
      </c>
      <c r="N283" s="151">
        <f>+IF(OR($Q283=Parametres!$G$2,$Q283=Parametres!$G$3),I283,C283)</f>
        <v>-946.64</v>
      </c>
      <c r="O283" s="151">
        <f>+IF(OR($Q283=Parametres!$G$2,$Q283=Parametres!$G$3),J283,D283)</f>
        <v>-2713.34</v>
      </c>
      <c r="P283" s="151">
        <f>+IF(OR($Q283=Parametres!$G$2,$Q283=Parametres!$G$3),K283,E283)</f>
        <v>-3659.98</v>
      </c>
      <c r="Q283" s="150" t="str">
        <f t="shared" si="22"/>
        <v>5-Ventes</v>
      </c>
      <c r="R283" s="149" t="str">
        <f t="shared" si="23"/>
        <v>474A</v>
      </c>
      <c r="S283" s="150" t="str">
        <f t="shared" si="24"/>
        <v>_</v>
      </c>
      <c r="T283" s="152" t="str">
        <f>+VLOOKUP($L283,Data_Validation!$A:$D,1,0)</f>
        <v>474D</v>
      </c>
      <c r="U283" s="152" t="str">
        <f>+VLOOKUP($L283,Data_Validation!$A:$D,3,0)</f>
        <v>pièces</v>
      </c>
      <c r="V283" s="152" t="str">
        <f>+VLOOKUP($L283,Data_Validation!$A:$D,4,0)</f>
        <v>Ventes Détails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1133</v>
      </c>
      <c r="B284" s="718" t="s">
        <v>425</v>
      </c>
      <c r="C284" s="720">
        <v>-9595.11</v>
      </c>
      <c r="D284" s="720">
        <v>-343.41</v>
      </c>
      <c r="E284" s="720">
        <v>-9938.52</v>
      </c>
      <c r="F284" s="718" t="s">
        <v>2007</v>
      </c>
      <c r="G284" s="718" t="s">
        <v>1118</v>
      </c>
      <c r="H284" s="673" t="s">
        <v>2971</v>
      </c>
      <c r="I284" s="672"/>
      <c r="J284" s="672"/>
      <c r="K284" s="672"/>
      <c r="L284" s="149" t="str">
        <f t="shared" si="20"/>
        <v>474E</v>
      </c>
      <c r="M284" s="150" t="str">
        <f t="shared" si="21"/>
        <v>VTE - PIECES COMP. BMW ACCESSOIRE</v>
      </c>
      <c r="N284" s="151">
        <f>+IF(OR($Q284=Parametres!$G$2,$Q284=Parametres!$G$3),I284,C284)</f>
        <v>-9595.11</v>
      </c>
      <c r="O284" s="151">
        <f>+IF(OR($Q284=Parametres!$G$2,$Q284=Parametres!$G$3),J284,D284)</f>
        <v>-343.41</v>
      </c>
      <c r="P284" s="151">
        <f>+IF(OR($Q284=Parametres!$G$2,$Q284=Parametres!$G$3),K284,E284)</f>
        <v>-9938.52</v>
      </c>
      <c r="Q284" s="150" t="str">
        <f t="shared" si="22"/>
        <v>5-Ventes</v>
      </c>
      <c r="R284" s="149" t="str">
        <f t="shared" si="23"/>
        <v>474A</v>
      </c>
      <c r="S284" s="150" t="str">
        <f t="shared" si="24"/>
        <v>_</v>
      </c>
      <c r="T284" s="152" t="str">
        <f>+VLOOKUP($L284,Data_Validation!$A:$D,1,0)</f>
        <v>474E</v>
      </c>
      <c r="U284" s="152" t="str">
        <f>+VLOOKUP($L284,Data_Validation!$A:$D,3,0)</f>
        <v>pièces</v>
      </c>
      <c r="V284" s="152" t="str">
        <f>+VLOOKUP($L284,Data_Validation!$A:$D,4,0)</f>
        <v>Ventes Détails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1166</v>
      </c>
      <c r="B285" s="718" t="s">
        <v>1167</v>
      </c>
      <c r="C285" s="720">
        <v>-156302.56</v>
      </c>
      <c r="D285" s="720">
        <v>-72740.67</v>
      </c>
      <c r="E285" s="720">
        <v>-229043.23</v>
      </c>
      <c r="F285" s="718" t="s">
        <v>2007</v>
      </c>
      <c r="G285" s="718" t="s">
        <v>1167</v>
      </c>
      <c r="H285" s="673" t="s">
        <v>2971</v>
      </c>
      <c r="I285" s="672"/>
      <c r="J285" s="672"/>
      <c r="K285" s="672"/>
      <c r="L285" s="149" t="str">
        <f t="shared" si="20"/>
        <v>475A</v>
      </c>
      <c r="M285" s="150" t="str">
        <f t="shared" si="21"/>
        <v>VTE - PIECES GROS BMW AUTO</v>
      </c>
      <c r="N285" s="151">
        <f>+IF(OR($Q285=Parametres!$G$2,$Q285=Parametres!$G$3),I285,C285)</f>
        <v>-156302.56</v>
      </c>
      <c r="O285" s="151">
        <f>+IF(OR($Q285=Parametres!$G$2,$Q285=Parametres!$G$3),J285,D285)</f>
        <v>-72740.67</v>
      </c>
      <c r="P285" s="151">
        <f>+IF(OR($Q285=Parametres!$G$2,$Q285=Parametres!$G$3),K285,E285)</f>
        <v>-229043.23</v>
      </c>
      <c r="Q285" s="150" t="str">
        <f t="shared" si="22"/>
        <v>5-Ventes</v>
      </c>
      <c r="R285" s="149" t="str">
        <f t="shared" si="23"/>
        <v>475A</v>
      </c>
      <c r="S285" s="150" t="str">
        <f t="shared" si="24"/>
        <v>_</v>
      </c>
      <c r="T285" s="152" t="str">
        <f>+VLOOKUP($L285,Data_Validation!$A:$D,1,0)</f>
        <v>475A</v>
      </c>
      <c r="U285" s="152" t="str">
        <f>+VLOOKUP($L285,Data_Validation!$A:$D,3,0)</f>
        <v>pièces</v>
      </c>
      <c r="V285" s="152" t="str">
        <f>+VLOOKUP($L285,Data_Validation!$A:$D,4,0)</f>
        <v>Ventes de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422</v>
      </c>
      <c r="B286" s="718" t="s">
        <v>417</v>
      </c>
      <c r="C286" s="720">
        <v>-147225.01999999999</v>
      </c>
      <c r="D286" s="720">
        <v>-123870.27</v>
      </c>
      <c r="E286" s="720">
        <v>-271095.28999999998</v>
      </c>
      <c r="F286" s="718" t="s">
        <v>2007</v>
      </c>
      <c r="G286" s="718" t="s">
        <v>417</v>
      </c>
      <c r="H286" s="673" t="s">
        <v>2971</v>
      </c>
      <c r="I286" s="672"/>
      <c r="J286" s="672"/>
      <c r="K286" s="672"/>
      <c r="L286" s="149" t="str">
        <f t="shared" si="20"/>
        <v>488A</v>
      </c>
      <c r="M286" s="150" t="str">
        <f t="shared" si="21"/>
        <v>VTE - PNEUS</v>
      </c>
      <c r="N286" s="151">
        <f>+IF(OR($Q286=Parametres!$G$2,$Q286=Parametres!$G$3),I286,C286)</f>
        <v>-147225.01999999999</v>
      </c>
      <c r="O286" s="151">
        <f>+IF(OR($Q286=Parametres!$G$2,$Q286=Parametres!$G$3),J286,D286)</f>
        <v>-123870.27</v>
      </c>
      <c r="P286" s="151">
        <f>+IF(OR($Q286=Parametres!$G$2,$Q286=Parametres!$G$3),K286,E286)</f>
        <v>-271095.28999999998</v>
      </c>
      <c r="Q286" s="150" t="str">
        <f t="shared" si="22"/>
        <v>5-Ventes</v>
      </c>
      <c r="R286" s="149" t="str">
        <f t="shared" si="23"/>
        <v>488A</v>
      </c>
      <c r="S286" s="150" t="str">
        <f t="shared" si="24"/>
        <v>_</v>
      </c>
      <c r="T286" s="152" t="str">
        <f>+VLOOKUP($L286,Data_Validation!$A:$D,1,0)</f>
        <v>488A</v>
      </c>
      <c r="U286" s="152" t="str">
        <f>+VLOOKUP($L286,Data_Validation!$A:$D,3,0)</f>
        <v>pièces</v>
      </c>
      <c r="V286" s="152" t="str">
        <f>+VLOOKUP($L286,Data_Validation!$A:$D,4,0)</f>
        <v>Ventes Pneus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1146</v>
      </c>
      <c r="B287" s="718" t="s">
        <v>445</v>
      </c>
      <c r="C287" s="720">
        <v>-9772.9599999999991</v>
      </c>
      <c r="D287" s="720">
        <v>-6201.94</v>
      </c>
      <c r="E287" s="720">
        <v>-15974.9</v>
      </c>
      <c r="F287" s="718" t="s">
        <v>2007</v>
      </c>
      <c r="G287" s="718" t="s">
        <v>445</v>
      </c>
      <c r="H287" s="673" t="s">
        <v>2971</v>
      </c>
      <c r="I287" s="673"/>
      <c r="J287" s="673"/>
      <c r="K287" s="673"/>
      <c r="L287" s="149" t="str">
        <f t="shared" si="20"/>
        <v>489A</v>
      </c>
      <c r="M287" s="508" t="str">
        <f t="shared" si="21"/>
        <v>VTE - HUILES &amp; GRAISSES</v>
      </c>
      <c r="N287" s="151">
        <f>+IF(OR($Q287=Parametres!$G$2,$Q287=Parametres!$G$3),I287,C287)</f>
        <v>-9772.9599999999991</v>
      </c>
      <c r="O287" s="509">
        <f>+IF(OR($Q287=Parametres!$G$2,$Q287=Parametres!$G$3),J287,D287)</f>
        <v>-6201.94</v>
      </c>
      <c r="P287" s="510">
        <f>+IF(OR($Q287=Parametres!$G$2,$Q287=Parametres!$G$3),K287,E287)</f>
        <v>-15974.9</v>
      </c>
      <c r="Q287" s="150" t="str">
        <f t="shared" si="22"/>
        <v>5-Ventes</v>
      </c>
      <c r="R287" s="149" t="str">
        <f t="shared" si="23"/>
        <v>489A</v>
      </c>
      <c r="S287" s="150" t="str">
        <f t="shared" si="24"/>
        <v>_</v>
      </c>
      <c r="T287" s="152" t="str">
        <f>+VLOOKUP($L287,Data_Validation!$A:$D,1,0)</f>
        <v>489A</v>
      </c>
      <c r="U287" s="152" t="str">
        <f>+VLOOKUP($L287,Data_Validation!$A:$D,3,0)</f>
        <v>pièces</v>
      </c>
      <c r="V287" s="152" t="str">
        <f>+VLOOKUP($L287,Data_Validation!$A:$D,4,0)</f>
        <v>Huiles et Graisse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1150</v>
      </c>
      <c r="B288" s="671" t="s">
        <v>1151</v>
      </c>
      <c r="C288" s="672">
        <v>-14965.34</v>
      </c>
      <c r="D288" s="672">
        <v>-6525.74</v>
      </c>
      <c r="E288" s="672">
        <v>-21491.08</v>
      </c>
      <c r="F288" s="671" t="s">
        <v>2007</v>
      </c>
      <c r="G288" s="671" t="s">
        <v>445</v>
      </c>
      <c r="H288" s="666" t="s">
        <v>2971</v>
      </c>
      <c r="I288" s="665"/>
      <c r="J288" s="665"/>
      <c r="K288" s="665"/>
      <c r="L288" s="149" t="str">
        <f t="shared" si="20"/>
        <v>489B</v>
      </c>
      <c r="M288" s="150" t="str">
        <f t="shared" si="21"/>
        <v>VTE - HUILE &amp; GRAISSE</v>
      </c>
      <c r="N288" s="151">
        <f>+IF(OR($Q288=Parametres!$G$2,$Q288=Parametres!$G$3),I288,C288)</f>
        <v>-14965.34</v>
      </c>
      <c r="O288" s="151">
        <f>+IF(OR($Q288=Parametres!$G$2,$Q288=Parametres!$G$3),J288,D288)</f>
        <v>-6525.74</v>
      </c>
      <c r="P288" s="151">
        <f>+IF(OR($Q288=Parametres!$G$2,$Q288=Parametres!$G$3),K288,E288)</f>
        <v>-21491.08</v>
      </c>
      <c r="Q288" s="150" t="str">
        <f t="shared" si="22"/>
        <v>5-Ventes</v>
      </c>
      <c r="R288" s="149" t="str">
        <f t="shared" si="23"/>
        <v>489A</v>
      </c>
      <c r="S288" s="150" t="str">
        <f t="shared" si="24"/>
        <v>_</v>
      </c>
      <c r="T288" s="152" t="str">
        <f>+VLOOKUP($L288,Data_Validation!$A:$D,1,0)</f>
        <v>489B</v>
      </c>
      <c r="U288" s="152" t="str">
        <f>+VLOOKUP($L288,Data_Validation!$A:$D,3,0)</f>
        <v>pièces</v>
      </c>
      <c r="V288" s="152" t="str">
        <f>+VLOOKUP($L288,Data_Validation!$A:$D,4,0)</f>
        <v>Huiles et Graisse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2347</v>
      </c>
      <c r="B289" s="718" t="s">
        <v>2348</v>
      </c>
      <c r="C289" s="720">
        <v>84271.07</v>
      </c>
      <c r="D289" s="720">
        <v>192828.83</v>
      </c>
      <c r="E289" s="720">
        <v>277099.90000000002</v>
      </c>
      <c r="F289" s="718" t="s">
        <v>2015</v>
      </c>
      <c r="G289" s="718" t="s">
        <v>2342</v>
      </c>
      <c r="H289" s="673" t="s">
        <v>2971</v>
      </c>
      <c r="I289" s="672"/>
      <c r="J289" s="672"/>
      <c r="K289" s="672"/>
      <c r="L289" s="149" t="str">
        <f t="shared" si="20"/>
        <v>602B</v>
      </c>
      <c r="M289" s="150" t="str">
        <f t="shared" si="21"/>
        <v>C/V - IX XDRIVE 50</v>
      </c>
      <c r="N289" s="151">
        <f>+IF(OR($Q289=Parametres!$G$2,$Q289=Parametres!$G$3),I289,C289)</f>
        <v>84271.07</v>
      </c>
      <c r="O289" s="151">
        <f>+IF(OR($Q289=Parametres!$G$2,$Q289=Parametres!$G$3),J289,D289)</f>
        <v>192828.83</v>
      </c>
      <c r="P289" s="151">
        <f>+IF(OR($Q289=Parametres!$G$2,$Q289=Parametres!$G$3),K289,E289)</f>
        <v>277099.90000000002</v>
      </c>
      <c r="Q289" s="150" t="str">
        <f t="shared" si="22"/>
        <v>6-Coût des ventes</v>
      </c>
      <c r="R289" s="149" t="str">
        <f t="shared" si="23"/>
        <v>402B</v>
      </c>
      <c r="S289" s="150" t="str">
        <f t="shared" si="24"/>
        <v>_</v>
      </c>
      <c r="T289" s="152" t="str">
        <f>+VLOOKUP($L289,Data_Validation!$A:$D,1,0)</f>
        <v>602B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2349</v>
      </c>
      <c r="B290" s="718" t="s">
        <v>2350</v>
      </c>
      <c r="C290" s="719">
        <v>78593.62</v>
      </c>
      <c r="D290" s="719">
        <v>174547.02</v>
      </c>
      <c r="E290" s="719">
        <v>253140.64</v>
      </c>
      <c r="F290" s="718" t="s">
        <v>2015</v>
      </c>
      <c r="G290" s="718" t="s">
        <v>2344</v>
      </c>
      <c r="H290" s="719" t="s">
        <v>2971</v>
      </c>
      <c r="I290" s="720"/>
      <c r="J290" s="720"/>
      <c r="K290" s="720"/>
      <c r="L290" s="149" t="str">
        <f t="shared" si="20"/>
        <v>603I</v>
      </c>
      <c r="M290" s="150" t="str">
        <f t="shared" si="21"/>
        <v>C/V - i4 M50i XDRIVE GRAN COUPE</v>
      </c>
      <c r="N290" s="151">
        <f>+IF(OR($Q290=Parametres!$G$2,$Q290=Parametres!$G$3),I290,C290)</f>
        <v>78593.62</v>
      </c>
      <c r="O290" s="151">
        <f>+IF(OR($Q290=Parametres!$G$2,$Q290=Parametres!$G$3),J290,D290)</f>
        <v>174547.02</v>
      </c>
      <c r="P290" s="151">
        <f>+IF(OR($Q290=Parametres!$G$2,$Q290=Parametres!$G$3),K290,E290)</f>
        <v>253140.64</v>
      </c>
      <c r="Q290" s="150" t="str">
        <f t="shared" si="22"/>
        <v>6-Coût des ventes</v>
      </c>
      <c r="R290" s="149" t="str">
        <f t="shared" si="23"/>
        <v>403I</v>
      </c>
      <c r="S290" s="150" t="str">
        <f t="shared" si="24"/>
        <v>_</v>
      </c>
      <c r="T290" s="152" t="str">
        <f>+VLOOKUP($L290,Data_Validation!$A:$D,1,0)</f>
        <v>603I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2351</v>
      </c>
      <c r="B291" s="718" t="s">
        <v>2352</v>
      </c>
      <c r="C291" s="720">
        <v>62100.5</v>
      </c>
      <c r="D291" s="720">
        <v>0</v>
      </c>
      <c r="E291" s="720">
        <v>62100.5</v>
      </c>
      <c r="F291" s="718" t="s">
        <v>2015</v>
      </c>
      <c r="G291" s="718" t="s">
        <v>2346</v>
      </c>
      <c r="H291" s="673" t="s">
        <v>2971</v>
      </c>
      <c r="I291" s="673"/>
      <c r="J291" s="673"/>
      <c r="K291" s="673"/>
      <c r="L291" s="149" t="str">
        <f t="shared" si="20"/>
        <v>604I</v>
      </c>
      <c r="M291" s="150" t="str">
        <f t="shared" si="21"/>
        <v>C/V - i4 eDRIVE40 GRAN COUPE</v>
      </c>
      <c r="N291" s="151">
        <f>+IF(OR($Q291=Parametres!$G$2,$Q291=Parametres!$G$3),I291,C291)</f>
        <v>62100.5</v>
      </c>
      <c r="O291" s="151">
        <f>+IF(OR($Q291=Parametres!$G$2,$Q291=Parametres!$G$3),J291,D291)</f>
        <v>0</v>
      </c>
      <c r="P291" s="151">
        <f>+IF(OR($Q291=Parametres!$G$2,$Q291=Parametres!$G$3),K291,E291)</f>
        <v>62100.5</v>
      </c>
      <c r="Q291" s="150" t="str">
        <f t="shared" si="22"/>
        <v>6-Coût des ventes</v>
      </c>
      <c r="R291" s="149" t="str">
        <f t="shared" si="23"/>
        <v>404I</v>
      </c>
      <c r="S291" s="150" t="str">
        <f t="shared" si="24"/>
        <v>_</v>
      </c>
      <c r="T291" s="152" t="str">
        <f>+VLOOKUP($L291,Data_Validation!$A:$D,1,0)</f>
        <v>604I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2907</v>
      </c>
      <c r="B292" s="718" t="s">
        <v>2908</v>
      </c>
      <c r="C292" s="720">
        <v>71413.2</v>
      </c>
      <c r="D292" s="720">
        <v>75274.12</v>
      </c>
      <c r="E292" s="720">
        <v>146687.32</v>
      </c>
      <c r="F292" s="718" t="s">
        <v>2015</v>
      </c>
      <c r="G292" s="718" t="s">
        <v>2906</v>
      </c>
      <c r="H292" s="673" t="s">
        <v>2971</v>
      </c>
      <c r="I292" s="672"/>
      <c r="J292" s="672"/>
      <c r="K292" s="672"/>
      <c r="L292" s="149" t="str">
        <f t="shared" si="20"/>
        <v>604J</v>
      </c>
      <c r="M292" s="150" t="str">
        <f t="shared" si="21"/>
        <v>C/V - i4 xDRIVE40</v>
      </c>
      <c r="N292" s="151">
        <f>+IF(OR($Q292=Parametres!$G$2,$Q292=Parametres!$G$3),I292,C292)</f>
        <v>71413.2</v>
      </c>
      <c r="O292" s="151">
        <f>+IF(OR($Q292=Parametres!$G$2,$Q292=Parametres!$G$3),J292,D292)</f>
        <v>75274.12</v>
      </c>
      <c r="P292" s="151">
        <f>+IF(OR($Q292=Parametres!$G$2,$Q292=Parametres!$G$3),K292,E292)</f>
        <v>146687.32</v>
      </c>
      <c r="Q292" s="150" t="str">
        <f t="shared" si="22"/>
        <v>6-Coût des ventes</v>
      </c>
      <c r="R292" s="149" t="str">
        <f t="shared" si="23"/>
        <v>404J</v>
      </c>
      <c r="S292" s="150" t="str">
        <f t="shared" si="24"/>
        <v>_</v>
      </c>
      <c r="T292" s="152" t="str">
        <f>+VLOOKUP($L292,Data_Validation!$A:$D,1,0)</f>
        <v>604J</v>
      </c>
      <c r="U292" s="152" t="str">
        <f>+VLOOKUP($L292,Data_Validation!$A:$D,3,0)</f>
        <v>Véhicules neufs</v>
      </c>
      <c r="V292" s="152" t="str">
        <f>+VLOOKUP($L292,Data_Validation!$A:$D,4,0)</f>
        <v>Autos détail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2055</v>
      </c>
      <c r="B293" s="671" t="s">
        <v>2056</v>
      </c>
      <c r="C293" s="672">
        <v>141308.04</v>
      </c>
      <c r="D293" s="672">
        <v>0</v>
      </c>
      <c r="E293" s="672">
        <v>141308.04</v>
      </c>
      <c r="F293" s="671" t="s">
        <v>2015</v>
      </c>
      <c r="G293" s="671" t="s">
        <v>2053</v>
      </c>
      <c r="H293" s="666" t="s">
        <v>2971</v>
      </c>
      <c r="I293" s="665"/>
      <c r="J293" s="665"/>
      <c r="K293" s="665"/>
      <c r="L293" s="149" t="str">
        <f t="shared" si="20"/>
        <v>605G</v>
      </c>
      <c r="M293" s="150" t="str">
        <f t="shared" si="21"/>
        <v>C/V - M4 COUPE</v>
      </c>
      <c r="N293" s="151">
        <f>+IF(OR($Q293=Parametres!$G$2,$Q293=Parametres!$G$3),I293,C293)</f>
        <v>141308.04</v>
      </c>
      <c r="O293" s="151">
        <f>+IF(OR($Q293=Parametres!$G$2,$Q293=Parametres!$G$3),J293,D293)</f>
        <v>0</v>
      </c>
      <c r="P293" s="151">
        <f>+IF(OR($Q293=Parametres!$G$2,$Q293=Parametres!$G$3),K293,E293)</f>
        <v>141308.04</v>
      </c>
      <c r="Q293" s="150" t="str">
        <f t="shared" si="22"/>
        <v>6-Coût des ventes</v>
      </c>
      <c r="R293" s="149" t="str">
        <f t="shared" si="23"/>
        <v>405G</v>
      </c>
      <c r="S293" s="150" t="str">
        <f t="shared" si="24"/>
        <v>_</v>
      </c>
      <c r="T293" s="152" t="str">
        <f>+VLOOKUP($L293,Data_Validation!$A:$D,1,0)</f>
        <v>605G</v>
      </c>
      <c r="U293" s="152" t="str">
        <f>+VLOOKUP($L293,Data_Validation!$A:$D,3,0)</f>
        <v>Véhicules neufs</v>
      </c>
      <c r="V293" s="152" t="str">
        <f>+VLOOKUP($L293,Data_Validation!$A:$D,4,0)</f>
        <v>Autos détail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1987</v>
      </c>
      <c r="B294" s="671" t="s">
        <v>1988</v>
      </c>
      <c r="C294" s="672">
        <v>230069.92</v>
      </c>
      <c r="D294" s="672">
        <v>0</v>
      </c>
      <c r="E294" s="672">
        <v>230069.92</v>
      </c>
      <c r="F294" s="671" t="s">
        <v>2015</v>
      </c>
      <c r="G294" s="671" t="s">
        <v>1984</v>
      </c>
      <c r="H294" s="666" t="s">
        <v>2971</v>
      </c>
      <c r="I294" s="665"/>
      <c r="J294" s="665"/>
      <c r="K294" s="665"/>
      <c r="L294" s="149" t="str">
        <f t="shared" si="20"/>
        <v>605K</v>
      </c>
      <c r="M294" s="150" t="str">
        <f t="shared" si="21"/>
        <v>C/V - M440I XDR COUPE</v>
      </c>
      <c r="N294" s="151">
        <f>+IF(OR($Q294=Parametres!$G$2,$Q294=Parametres!$G$3),I294,C294)</f>
        <v>230069.92</v>
      </c>
      <c r="O294" s="151">
        <f>+IF(OR($Q294=Parametres!$G$2,$Q294=Parametres!$G$3),J294,D294)</f>
        <v>0</v>
      </c>
      <c r="P294" s="151">
        <f>+IF(OR($Q294=Parametres!$G$2,$Q294=Parametres!$G$3),K294,E294)</f>
        <v>230069.92</v>
      </c>
      <c r="Q294" s="150" t="str">
        <f t="shared" si="22"/>
        <v>6-Coût des ventes</v>
      </c>
      <c r="R294" s="149" t="str">
        <f t="shared" si="23"/>
        <v>405K</v>
      </c>
      <c r="S294" s="150" t="str">
        <f t="shared" si="24"/>
        <v>_</v>
      </c>
      <c r="T294" s="152" t="str">
        <f>+VLOOKUP($L294,Data_Validation!$A:$D,1,0)</f>
        <v>605K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1417</v>
      </c>
      <c r="B295" s="671" t="s">
        <v>647</v>
      </c>
      <c r="C295" s="672">
        <v>70143.81</v>
      </c>
      <c r="D295" s="672">
        <v>0</v>
      </c>
      <c r="E295" s="672">
        <v>70143.81</v>
      </c>
      <c r="F295" s="671" t="s">
        <v>2015</v>
      </c>
      <c r="G295" s="671" t="s">
        <v>610</v>
      </c>
      <c r="H295" s="666" t="s">
        <v>2971</v>
      </c>
      <c r="I295" s="665"/>
      <c r="J295" s="665"/>
      <c r="K295" s="665"/>
      <c r="L295" s="149" t="str">
        <f t="shared" si="20"/>
        <v>606G</v>
      </c>
      <c r="M295" s="150" t="str">
        <f t="shared" si="21"/>
        <v>C/V - M240I XDRIVE COUPE</v>
      </c>
      <c r="N295" s="151">
        <f>+IF(OR($Q295=Parametres!$G$2,$Q295=Parametres!$G$3),I295,C295)</f>
        <v>70143.81</v>
      </c>
      <c r="O295" s="151">
        <f>+IF(OR($Q295=Parametres!$G$2,$Q295=Parametres!$G$3),J295,D295)</f>
        <v>0</v>
      </c>
      <c r="P295" s="151">
        <f>+IF(OR($Q295=Parametres!$G$2,$Q295=Parametres!$G$3),K295,E295)</f>
        <v>70143.81</v>
      </c>
      <c r="Q295" s="150" t="str">
        <f t="shared" si="22"/>
        <v>6-Coût des ventes</v>
      </c>
      <c r="R295" s="149" t="str">
        <f t="shared" si="23"/>
        <v>406G</v>
      </c>
      <c r="S295" s="150" t="str">
        <f t="shared" si="24"/>
        <v>_</v>
      </c>
      <c r="T295" s="152" t="str">
        <f>+VLOOKUP($L295,Data_Validation!$A:$D,1,0)</f>
        <v>606G</v>
      </c>
      <c r="U295" s="152" t="str">
        <f>+VLOOKUP($L295,Data_Validation!$A:$D,3,0)</f>
        <v>Véhicules neufs</v>
      </c>
      <c r="V295" s="152" t="str">
        <f>+VLOOKUP($L295,Data_Validation!$A:$D,4,0)</f>
        <v>Autos détail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2036</v>
      </c>
      <c r="B296" s="718" t="s">
        <v>2037</v>
      </c>
      <c r="C296" s="720">
        <v>101933.44</v>
      </c>
      <c r="D296" s="720">
        <v>118665.41</v>
      </c>
      <c r="E296" s="720">
        <v>220598.85</v>
      </c>
      <c r="F296" s="718" t="s">
        <v>2015</v>
      </c>
      <c r="G296" s="718" t="s">
        <v>2031</v>
      </c>
      <c r="H296" s="666" t="s">
        <v>2971</v>
      </c>
      <c r="I296" s="665"/>
      <c r="J296" s="665"/>
      <c r="K296" s="665"/>
      <c r="L296" s="149" t="str">
        <f t="shared" si="20"/>
        <v>607C</v>
      </c>
      <c r="M296" s="150" t="str">
        <f t="shared" si="21"/>
        <v>C/V - M3 COMPETITION</v>
      </c>
      <c r="N296" s="151">
        <f>+IF(OR($Q296=Parametres!$G$2,$Q296=Parametres!$G$3),I296,C296)</f>
        <v>101933.44</v>
      </c>
      <c r="O296" s="151">
        <f>+IF(OR($Q296=Parametres!$G$2,$Q296=Parametres!$G$3),J296,D296)</f>
        <v>118665.41</v>
      </c>
      <c r="P296" s="151">
        <f>+IF(OR($Q296=Parametres!$G$2,$Q296=Parametres!$G$3),K296,E296)</f>
        <v>220598.85</v>
      </c>
      <c r="Q296" s="150" t="str">
        <f t="shared" si="22"/>
        <v>6-Coût des ventes</v>
      </c>
      <c r="R296" s="149" t="str">
        <f t="shared" si="23"/>
        <v>407C</v>
      </c>
      <c r="S296" s="150" t="str">
        <f t="shared" si="24"/>
        <v>_</v>
      </c>
      <c r="T296" s="152" t="str">
        <f>+VLOOKUP($L296,Data_Validation!$A:$D,1,0)</f>
        <v>607C</v>
      </c>
      <c r="U296" s="152" t="str">
        <f>+VLOOKUP($L296,Data_Validation!$A:$D,3,0)</f>
        <v>Véhicules neufs</v>
      </c>
      <c r="V296" s="152" t="str">
        <f>+VLOOKUP($L296,Data_Validation!$A:$D,4,0)</f>
        <v>Autos détail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2877</v>
      </c>
      <c r="B297" s="671" t="s">
        <v>2879</v>
      </c>
      <c r="C297" s="672">
        <v>59081.97</v>
      </c>
      <c r="D297" s="672">
        <v>0</v>
      </c>
      <c r="E297" s="672">
        <v>59081.97</v>
      </c>
      <c r="F297" s="671" t="s">
        <v>2015</v>
      </c>
      <c r="G297" s="671" t="s">
        <v>2878</v>
      </c>
      <c r="H297" s="666" t="s">
        <v>2971</v>
      </c>
      <c r="I297" s="665"/>
      <c r="J297" s="665"/>
      <c r="K297" s="665"/>
      <c r="L297" s="149" t="str">
        <f t="shared" si="20"/>
        <v>609</v>
      </c>
      <c r="M297" s="150" t="str">
        <f t="shared" si="21"/>
        <v>X2 XDRIVE28I</v>
      </c>
      <c r="N297" s="151">
        <f>+IF(OR($Q297=Parametres!$G$2,$Q297=Parametres!$G$3),I297,C297)</f>
        <v>59081.97</v>
      </c>
      <c r="O297" s="151">
        <f>+IF(OR($Q297=Parametres!$G$2,$Q297=Parametres!$G$3),J297,D297)</f>
        <v>0</v>
      </c>
      <c r="P297" s="151">
        <f>+IF(OR($Q297=Parametres!$G$2,$Q297=Parametres!$G$3),K297,E297)</f>
        <v>59081.97</v>
      </c>
      <c r="Q297" s="150" t="str">
        <f t="shared" si="22"/>
        <v>6-Coût des ventes</v>
      </c>
      <c r="R297" s="149" t="str">
        <f t="shared" si="23"/>
        <v>409</v>
      </c>
      <c r="S297" s="150" t="str">
        <f t="shared" si="24"/>
        <v>_</v>
      </c>
      <c r="T297" s="152" t="str">
        <f>+VLOOKUP($L297,Data_Validation!$A:$D,1,0)</f>
        <v>609</v>
      </c>
      <c r="U297" s="152" t="str">
        <f>+VLOOKUP($L297,Data_Validation!$A:$D,3,0)</f>
        <v>Véhicules neufs</v>
      </c>
      <c r="V297" s="152" t="str">
        <f>+VLOOKUP($L297,Data_Validation!$A:$D,4,0)</f>
        <v>Camions détail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2972</v>
      </c>
      <c r="B298" s="718" t="s">
        <v>2974</v>
      </c>
      <c r="C298" s="720">
        <v>241599.26</v>
      </c>
      <c r="D298" s="720">
        <v>0</v>
      </c>
      <c r="E298" s="720">
        <v>241599.26</v>
      </c>
      <c r="F298" s="718" t="s">
        <v>2015</v>
      </c>
      <c r="G298" s="718" t="s">
        <v>2973</v>
      </c>
      <c r="H298" s="666" t="s">
        <v>2971</v>
      </c>
      <c r="I298" s="665"/>
      <c r="J298" s="665"/>
      <c r="K298" s="665"/>
      <c r="L298" s="149" t="str">
        <f t="shared" si="20"/>
        <v>609C</v>
      </c>
      <c r="M298" s="150" t="str">
        <f t="shared" si="21"/>
        <v>X3 M50 XDRIVE</v>
      </c>
      <c r="N298" s="151">
        <f>+IF(OR($Q298=Parametres!$G$2,$Q298=Parametres!$G$3),I298,C298)</f>
        <v>241599.26</v>
      </c>
      <c r="O298" s="151">
        <f>+IF(OR($Q298=Parametres!$G$2,$Q298=Parametres!$G$3),J298,D298)</f>
        <v>0</v>
      </c>
      <c r="P298" s="151">
        <f>+IF(OR($Q298=Parametres!$G$2,$Q298=Parametres!$G$3),K298,E298)</f>
        <v>241599.26</v>
      </c>
      <c r="Q298" s="150" t="str">
        <f t="shared" si="22"/>
        <v>6-Coût des ventes</v>
      </c>
      <c r="R298" s="149" t="str">
        <f t="shared" si="23"/>
        <v>409C</v>
      </c>
      <c r="S298" s="150" t="str">
        <f t="shared" si="24"/>
        <v>_</v>
      </c>
      <c r="T298" s="152" t="str">
        <f>+VLOOKUP($L298,Data_Validation!$A:$D,1,0)</f>
        <v>609C</v>
      </c>
      <c r="U298" s="152" t="str">
        <f>+VLOOKUP($L298,Data_Validation!$A:$D,3,0)</f>
        <v>Véhicules neufs</v>
      </c>
      <c r="V298" s="152" t="str">
        <f>+VLOOKUP($L298,Data_Validation!$A:$D,4,0)</f>
        <v>Camions détail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1019</v>
      </c>
      <c r="B299" s="718" t="s">
        <v>649</v>
      </c>
      <c r="C299" s="720">
        <v>63442</v>
      </c>
      <c r="D299" s="720">
        <v>0</v>
      </c>
      <c r="E299" s="720">
        <v>63442</v>
      </c>
      <c r="F299" s="718" t="s">
        <v>2015</v>
      </c>
      <c r="G299" s="718" t="s">
        <v>612</v>
      </c>
      <c r="H299" s="666" t="s">
        <v>2971</v>
      </c>
      <c r="I299" s="665"/>
      <c r="J299" s="665"/>
      <c r="K299" s="665"/>
      <c r="L299" s="149" t="str">
        <f t="shared" si="20"/>
        <v>611C</v>
      </c>
      <c r="M299" s="150" t="str">
        <f t="shared" si="21"/>
        <v>C/V - 330I XDRIVE SEDAN</v>
      </c>
      <c r="N299" s="151">
        <f>+IF(OR($Q299=Parametres!$G$2,$Q299=Parametres!$G$3),I299,C299)</f>
        <v>63442</v>
      </c>
      <c r="O299" s="151">
        <f>+IF(OR($Q299=Parametres!$G$2,$Q299=Parametres!$G$3),J299,D299)</f>
        <v>0</v>
      </c>
      <c r="P299" s="151">
        <f>+IF(OR($Q299=Parametres!$G$2,$Q299=Parametres!$G$3),K299,E299)</f>
        <v>63442</v>
      </c>
      <c r="Q299" s="150" t="str">
        <f t="shared" si="22"/>
        <v>6-Coût des ventes</v>
      </c>
      <c r="R299" s="149" t="str">
        <f t="shared" si="23"/>
        <v>411C</v>
      </c>
      <c r="S299" s="150" t="str">
        <f t="shared" si="24"/>
        <v>_</v>
      </c>
      <c r="T299" s="152" t="str">
        <f>+VLOOKUP($L299,Data_Validation!$A:$D,1,0)</f>
        <v>611C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1979</v>
      </c>
      <c r="B300" s="718" t="s">
        <v>1981</v>
      </c>
      <c r="C300" s="720">
        <v>82336.14</v>
      </c>
      <c r="D300" s="720">
        <v>79834.09</v>
      </c>
      <c r="E300" s="720">
        <v>162170.23000000001</v>
      </c>
      <c r="F300" s="718" t="s">
        <v>2015</v>
      </c>
      <c r="G300" s="718" t="s">
        <v>1980</v>
      </c>
      <c r="H300" s="673" t="s">
        <v>2971</v>
      </c>
      <c r="I300" s="672"/>
      <c r="J300" s="672"/>
      <c r="K300" s="672"/>
      <c r="L300" s="149" t="str">
        <f t="shared" si="20"/>
        <v>612C</v>
      </c>
      <c r="M300" s="150" t="str">
        <f t="shared" si="21"/>
        <v>M340I XDRIVE</v>
      </c>
      <c r="N300" s="151">
        <f>+IF(OR($Q300=Parametres!$G$2,$Q300=Parametres!$G$3),I300,C300)</f>
        <v>82336.14</v>
      </c>
      <c r="O300" s="151">
        <f>+IF(OR($Q300=Parametres!$G$2,$Q300=Parametres!$G$3),J300,D300)</f>
        <v>79834.09</v>
      </c>
      <c r="P300" s="151">
        <f>+IF(OR($Q300=Parametres!$G$2,$Q300=Parametres!$G$3),K300,E300)</f>
        <v>162170.23000000001</v>
      </c>
      <c r="Q300" s="150" t="str">
        <f t="shared" si="22"/>
        <v>6-Coût des ventes</v>
      </c>
      <c r="R300" s="149" t="str">
        <f t="shared" si="23"/>
        <v>412C</v>
      </c>
      <c r="S300" s="150" t="str">
        <f t="shared" si="24"/>
        <v>_</v>
      </c>
      <c r="T300" s="152" t="str">
        <f>+VLOOKUP($L300,Data_Validation!$A:$D,1,0)</f>
        <v>612C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2500</v>
      </c>
      <c r="B301" s="718" t="s">
        <v>2501</v>
      </c>
      <c r="C301" s="719">
        <v>120939.22</v>
      </c>
      <c r="D301" s="719">
        <v>0</v>
      </c>
      <c r="E301" s="719">
        <v>120939.22</v>
      </c>
      <c r="F301" s="718" t="s">
        <v>2015</v>
      </c>
      <c r="G301" s="718" t="s">
        <v>2497</v>
      </c>
      <c r="H301" s="719" t="s">
        <v>2971</v>
      </c>
      <c r="I301" s="720"/>
      <c r="J301" s="720"/>
      <c r="K301" s="720"/>
      <c r="L301" s="149" t="str">
        <f t="shared" si="20"/>
        <v>615B</v>
      </c>
      <c r="M301" s="150" t="str">
        <f t="shared" si="21"/>
        <v>C/V - i7 xDRIVE60</v>
      </c>
      <c r="N301" s="151">
        <f>+IF(OR($Q301=Parametres!$G$2,$Q301=Parametres!$G$3),I301,C301)</f>
        <v>120939.22</v>
      </c>
      <c r="O301" s="151">
        <f>+IF(OR($Q301=Parametres!$G$2,$Q301=Parametres!$G$3),J301,D301)</f>
        <v>0</v>
      </c>
      <c r="P301" s="151">
        <f>+IF(OR($Q301=Parametres!$G$2,$Q301=Parametres!$G$3),K301,E301)</f>
        <v>120939.22</v>
      </c>
      <c r="Q301" s="150" t="str">
        <f t="shared" si="22"/>
        <v>6-Coût des ventes</v>
      </c>
      <c r="R301" s="149" t="str">
        <f t="shared" si="23"/>
        <v>415B</v>
      </c>
      <c r="S301" s="150" t="str">
        <f t="shared" si="24"/>
        <v>_</v>
      </c>
      <c r="T301" s="152" t="str">
        <f>+VLOOKUP($L301,Data_Validation!$A:$D,1,0)</f>
        <v>615B</v>
      </c>
      <c r="U301" s="152" t="str">
        <f>+VLOOKUP($L301,Data_Validation!$A:$D,3,0)</f>
        <v>Véhicules neufs</v>
      </c>
      <c r="V301" s="152" t="str">
        <f>+VLOOKUP($L301,Data_Validation!$A:$D,4,0)</f>
        <v>Autos détail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1842</v>
      </c>
      <c r="B302" s="718" t="s">
        <v>979</v>
      </c>
      <c r="C302" s="720">
        <v>716349.91</v>
      </c>
      <c r="D302" s="720">
        <v>219025.9</v>
      </c>
      <c r="E302" s="720">
        <v>935375.81</v>
      </c>
      <c r="F302" s="718" t="s">
        <v>2015</v>
      </c>
      <c r="G302" s="718" t="s">
        <v>410</v>
      </c>
      <c r="H302" s="673" t="s">
        <v>2971</v>
      </c>
      <c r="I302" s="672"/>
      <c r="J302" s="672"/>
      <c r="K302" s="672"/>
      <c r="L302" s="149" t="str">
        <f t="shared" si="20"/>
        <v>616</v>
      </c>
      <c r="M302" s="150" t="str">
        <f t="shared" si="21"/>
        <v>C/V - X1 XDRIVE 28I</v>
      </c>
      <c r="N302" s="151">
        <f>+IF(OR($Q302=Parametres!$G$2,$Q302=Parametres!$G$3),I302,C302)</f>
        <v>716349.91</v>
      </c>
      <c r="O302" s="151">
        <f>+IF(OR($Q302=Parametres!$G$2,$Q302=Parametres!$G$3),J302,D302)</f>
        <v>219025.9</v>
      </c>
      <c r="P302" s="151">
        <f>+IF(OR($Q302=Parametres!$G$2,$Q302=Parametres!$G$3),K302,E302)</f>
        <v>935375.81</v>
      </c>
      <c r="Q302" s="150" t="str">
        <f t="shared" si="22"/>
        <v>6-Coût des ventes</v>
      </c>
      <c r="R302" s="149" t="str">
        <f t="shared" si="23"/>
        <v>416</v>
      </c>
      <c r="S302" s="150" t="str">
        <f t="shared" si="24"/>
        <v>_</v>
      </c>
      <c r="T302" s="152" t="str">
        <f>+VLOOKUP($L302,Data_Validation!$A:$D,1,0)</f>
        <v>616</v>
      </c>
      <c r="U302" s="152" t="str">
        <f>+VLOOKUP($L302,Data_Validation!$A:$D,3,0)</f>
        <v>Véhicules neufs</v>
      </c>
      <c r="V302" s="152" t="str">
        <f>+VLOOKUP($L302,Data_Validation!$A:$D,4,0)</f>
        <v>Camions détail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2531</v>
      </c>
      <c r="B303" s="718" t="s">
        <v>2532</v>
      </c>
      <c r="C303" s="720">
        <v>64635.63</v>
      </c>
      <c r="D303" s="720">
        <v>136159.79</v>
      </c>
      <c r="E303" s="720">
        <v>200795.42</v>
      </c>
      <c r="F303" s="718" t="s">
        <v>2015</v>
      </c>
      <c r="G303" s="718" t="s">
        <v>2528</v>
      </c>
      <c r="H303" s="609" t="s">
        <v>2971</v>
      </c>
      <c r="I303" s="608"/>
      <c r="J303" s="608"/>
      <c r="K303" s="608"/>
      <c r="L303" s="149" t="str">
        <f t="shared" si="20"/>
        <v>616A</v>
      </c>
      <c r="M303" s="150" t="str">
        <f t="shared" si="21"/>
        <v>C/V - X1 M35i xDRIVE</v>
      </c>
      <c r="N303" s="151">
        <f>+IF(OR($Q303=Parametres!$G$2,$Q303=Parametres!$G$3),I303,C303)</f>
        <v>64635.63</v>
      </c>
      <c r="O303" s="504">
        <f>+IF(OR($Q303=Parametres!$G$2,$Q303=Parametres!$G$3),J303,D303)</f>
        <v>136159.79</v>
      </c>
      <c r="P303" s="151">
        <f>+IF(OR($Q303=Parametres!$G$2,$Q303=Parametres!$G$3),K303,E303)</f>
        <v>200795.42</v>
      </c>
      <c r="Q303" s="150" t="str">
        <f t="shared" si="22"/>
        <v>6-Coût des ventes</v>
      </c>
      <c r="R303" s="149" t="str">
        <f t="shared" si="23"/>
        <v>416A</v>
      </c>
      <c r="S303" s="150" t="str">
        <f t="shared" si="24"/>
        <v>_</v>
      </c>
      <c r="T303" s="152" t="str">
        <f>+VLOOKUP($L303,Data_Validation!$A:$D,1,0)</f>
        <v>616A</v>
      </c>
      <c r="U303" s="152" t="str">
        <f>+VLOOKUP($L303,Data_Validation!$A:$D,3,0)</f>
        <v>Véhicules neufs</v>
      </c>
      <c r="V303" s="152" t="str">
        <f>+VLOOKUP($L303,Data_Validation!$A:$D,4,0)</f>
        <v>Camions détail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1104</v>
      </c>
      <c r="B304" s="718" t="s">
        <v>426</v>
      </c>
      <c r="C304" s="720">
        <v>-82863.399999999994</v>
      </c>
      <c r="D304" s="720">
        <v>-52973</v>
      </c>
      <c r="E304" s="720">
        <v>-135836.4</v>
      </c>
      <c r="F304" s="718" t="s">
        <v>2015</v>
      </c>
      <c r="G304" s="718" t="s">
        <v>2252</v>
      </c>
      <c r="H304" s="673" t="s">
        <v>2971</v>
      </c>
      <c r="I304" s="672"/>
      <c r="J304" s="672"/>
      <c r="K304" s="672"/>
      <c r="L304" s="149" t="str">
        <f t="shared" si="20"/>
        <v>617A</v>
      </c>
      <c r="M304" s="150" t="str">
        <f t="shared" si="21"/>
        <v>RESERVE DETAILLANT</v>
      </c>
      <c r="N304" s="151">
        <f>+IF(OR($Q304=Parametres!$G$2,$Q304=Parametres!$G$3),I304,C304)</f>
        <v>-82863.399999999994</v>
      </c>
      <c r="O304" s="151">
        <f>+IF(OR($Q304=Parametres!$G$2,$Q304=Parametres!$G$3),J304,D304)</f>
        <v>-52973</v>
      </c>
      <c r="P304" s="151">
        <f>+IF(OR($Q304=Parametres!$G$2,$Q304=Parametres!$G$3),K304,E304)</f>
        <v>-135836.4</v>
      </c>
      <c r="Q304" s="150" t="str">
        <f t="shared" si="22"/>
        <v>6-Coût des ventes</v>
      </c>
      <c r="R304" s="149" t="str">
        <f t="shared" si="23"/>
        <v>617</v>
      </c>
      <c r="S304" s="150" t="str">
        <f t="shared" si="24"/>
        <v>_</v>
      </c>
      <c r="T304" s="152" t="str">
        <f>+VLOOKUP($L304,Data_Validation!$A:$D,1,0)</f>
        <v>617A</v>
      </c>
      <c r="U304" s="152" t="str">
        <f>+VLOOKUP($L304,Data_Validation!$A:$D,3,0)</f>
        <v>Véhicules neufs</v>
      </c>
      <c r="V304" s="152" t="str">
        <f>+VLOOKUP($L304,Data_Validation!$A:$D,4,0)</f>
        <v>holdbacks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1837</v>
      </c>
      <c r="B305" s="718" t="s">
        <v>654</v>
      </c>
      <c r="C305" s="720">
        <v>432376.93</v>
      </c>
      <c r="D305" s="720">
        <v>666886.03</v>
      </c>
      <c r="E305" s="720">
        <v>1099262.96</v>
      </c>
      <c r="F305" s="718" t="s">
        <v>2015</v>
      </c>
      <c r="G305" s="718" t="s">
        <v>616</v>
      </c>
      <c r="H305" s="673" t="s">
        <v>2971</v>
      </c>
      <c r="I305" s="672"/>
      <c r="J305" s="672"/>
      <c r="K305" s="672"/>
      <c r="L305" s="149" t="str">
        <f t="shared" si="20"/>
        <v>618</v>
      </c>
      <c r="M305" s="150" t="str">
        <f t="shared" si="21"/>
        <v>C/V - AUTRES MODELES BMW AUTO</v>
      </c>
      <c r="N305" s="151">
        <f>+IF(OR($Q305=Parametres!$G$2,$Q305=Parametres!$G$3),I305,C305)</f>
        <v>432376.93</v>
      </c>
      <c r="O305" s="151">
        <f>+IF(OR($Q305=Parametres!$G$2,$Q305=Parametres!$G$3),J305,D305)</f>
        <v>666886.03</v>
      </c>
      <c r="P305" s="151">
        <f>+IF(OR($Q305=Parametres!$G$2,$Q305=Parametres!$G$3),K305,E305)</f>
        <v>1099262.96</v>
      </c>
      <c r="Q305" s="150" t="str">
        <f t="shared" si="22"/>
        <v>6-Coût des ventes</v>
      </c>
      <c r="R305" s="149" t="str">
        <f t="shared" si="23"/>
        <v>418</v>
      </c>
      <c r="S305" s="150" t="str">
        <f t="shared" si="24"/>
        <v>_</v>
      </c>
      <c r="T305" s="152" t="str">
        <f>+VLOOKUP($L305,Data_Validation!$A:$D,1,0)</f>
        <v>618</v>
      </c>
      <c r="U305" s="152" t="str">
        <f>+VLOOKUP($L305,Data_Validation!$A:$D,3,0)</f>
        <v>Véhicules neufs</v>
      </c>
      <c r="V305" s="152" t="str">
        <f>+VLOOKUP($L305,Data_Validation!$A:$D,4,0)</f>
        <v>Ex-Démos et courtoisies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1427</v>
      </c>
      <c r="B306" s="718" t="s">
        <v>976</v>
      </c>
      <c r="C306" s="720">
        <v>0</v>
      </c>
      <c r="D306" s="720">
        <v>107805.18</v>
      </c>
      <c r="E306" s="720">
        <v>107805.18</v>
      </c>
      <c r="F306" s="718" t="s">
        <v>2015</v>
      </c>
      <c r="G306" s="718" t="s">
        <v>419</v>
      </c>
      <c r="H306" s="673" t="s">
        <v>2971</v>
      </c>
      <c r="I306" s="672"/>
      <c r="J306" s="672"/>
      <c r="K306" s="672"/>
      <c r="L306" s="149" t="str">
        <f t="shared" si="20"/>
        <v>622A</v>
      </c>
      <c r="M306" s="150" t="str">
        <f t="shared" si="21"/>
        <v>C/V - X6 XDRIVE 35I</v>
      </c>
      <c r="N306" s="151">
        <f>+IF(OR($Q306=Parametres!$G$2,$Q306=Parametres!$G$3),I306,C306)</f>
        <v>0</v>
      </c>
      <c r="O306" s="151">
        <f>+IF(OR($Q306=Parametres!$G$2,$Q306=Parametres!$G$3),J306,D306)</f>
        <v>107805.18</v>
      </c>
      <c r="P306" s="151">
        <f>+IF(OR($Q306=Parametres!$G$2,$Q306=Parametres!$G$3),K306,E306)</f>
        <v>107805.18</v>
      </c>
      <c r="Q306" s="150" t="str">
        <f t="shared" si="22"/>
        <v>6-Coût des ventes</v>
      </c>
      <c r="R306" s="149" t="str">
        <f t="shared" si="23"/>
        <v>422A</v>
      </c>
      <c r="S306" s="150" t="str">
        <f t="shared" si="24"/>
        <v>_</v>
      </c>
      <c r="T306" s="152" t="str">
        <f>+VLOOKUP($L306,Data_Validation!$A:$D,1,0)</f>
        <v>622A</v>
      </c>
      <c r="U306" s="152" t="str">
        <f>+VLOOKUP($L306,Data_Validation!$A:$D,3,0)</f>
        <v>Véhicules neufs</v>
      </c>
      <c r="V306" s="152" t="str">
        <f>+VLOOKUP($L306,Data_Validation!$A:$D,4,0)</f>
        <v>Camions détail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1428</v>
      </c>
      <c r="B307" s="718" t="s">
        <v>655</v>
      </c>
      <c r="C307" s="720">
        <v>211072.3</v>
      </c>
      <c r="D307" s="720">
        <v>276653.43</v>
      </c>
      <c r="E307" s="720">
        <v>487725.73</v>
      </c>
      <c r="F307" s="718" t="s">
        <v>2015</v>
      </c>
      <c r="G307" s="718" t="s">
        <v>617</v>
      </c>
      <c r="H307" s="673" t="s">
        <v>2971</v>
      </c>
      <c r="I307" s="672"/>
      <c r="J307" s="672"/>
      <c r="K307" s="672"/>
      <c r="L307" s="149" t="str">
        <f t="shared" si="20"/>
        <v>623C</v>
      </c>
      <c r="M307" s="150" t="str">
        <f t="shared" si="21"/>
        <v>C/V - X3 XDRIVE 30E</v>
      </c>
      <c r="N307" s="151">
        <f>+IF(OR($Q307=Parametres!$G$2,$Q307=Parametres!$G$3),I307,C307)</f>
        <v>211072.3</v>
      </c>
      <c r="O307" s="151">
        <f>+IF(OR($Q307=Parametres!$G$2,$Q307=Parametres!$G$3),J307,D307)</f>
        <v>276653.43</v>
      </c>
      <c r="P307" s="151">
        <f>+IF(OR($Q307=Parametres!$G$2,$Q307=Parametres!$G$3),K307,E307)</f>
        <v>487725.73</v>
      </c>
      <c r="Q307" s="150" t="str">
        <f t="shared" si="22"/>
        <v>6-Coût des ventes</v>
      </c>
      <c r="R307" s="149" t="str">
        <f t="shared" si="23"/>
        <v>423C</v>
      </c>
      <c r="S307" s="150" t="str">
        <f t="shared" si="24"/>
        <v>_</v>
      </c>
      <c r="T307" s="152" t="str">
        <f>+VLOOKUP($L307,Data_Validation!$A:$D,1,0)</f>
        <v>623C</v>
      </c>
      <c r="U307" s="152" t="str">
        <f>+VLOOKUP($L307,Data_Validation!$A:$D,3,0)</f>
        <v>Véhicules neufs</v>
      </c>
      <c r="V307" s="152" t="str">
        <f>+VLOOKUP($L307,Data_Validation!$A:$D,4,0)</f>
        <v>Camions détail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1848</v>
      </c>
      <c r="B308" s="718" t="s">
        <v>656</v>
      </c>
      <c r="C308" s="719">
        <v>297272.51</v>
      </c>
      <c r="D308" s="719">
        <v>191671.45</v>
      </c>
      <c r="E308" s="719">
        <v>488943.96</v>
      </c>
      <c r="F308" s="718" t="s">
        <v>2015</v>
      </c>
      <c r="G308" s="718" t="s">
        <v>618</v>
      </c>
      <c r="H308" s="719" t="s">
        <v>2971</v>
      </c>
      <c r="I308" s="720"/>
      <c r="J308" s="720"/>
      <c r="K308" s="720"/>
      <c r="L308" s="149" t="str">
        <f t="shared" si="20"/>
        <v>623D</v>
      </c>
      <c r="M308" s="150" t="str">
        <f t="shared" si="21"/>
        <v>C/V - X5 XDRIVE 35I/ X5 XDRIVE 40I</v>
      </c>
      <c r="N308" s="151">
        <f>+IF(OR($Q308=Parametres!$G$2,$Q308=Parametres!$G$3),I308,C308)</f>
        <v>297272.51</v>
      </c>
      <c r="O308" s="151">
        <f>+IF(OR($Q308=Parametres!$G$2,$Q308=Parametres!$G$3),J308,D308)</f>
        <v>191671.45</v>
      </c>
      <c r="P308" s="151">
        <f>+IF(OR($Q308=Parametres!$G$2,$Q308=Parametres!$G$3),K308,E308)</f>
        <v>488943.96</v>
      </c>
      <c r="Q308" s="150" t="str">
        <f t="shared" si="22"/>
        <v>6-Coût des ventes</v>
      </c>
      <c r="R308" s="149" t="str">
        <f t="shared" si="23"/>
        <v>423D</v>
      </c>
      <c r="S308" s="150" t="str">
        <f t="shared" si="24"/>
        <v>_</v>
      </c>
      <c r="T308" s="152" t="str">
        <f>+VLOOKUP($L308,Data_Validation!$A:$D,1,0)</f>
        <v>623D</v>
      </c>
      <c r="U308" s="152" t="str">
        <f>+VLOOKUP($L308,Data_Validation!$A:$D,3,0)</f>
        <v>Véhicules neufs</v>
      </c>
      <c r="V308" s="152" t="str">
        <f>+VLOOKUP($L308,Data_Validation!$A:$D,4,0)</f>
        <v>Camions détail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2488</v>
      </c>
      <c r="B309" s="718" t="s">
        <v>2489</v>
      </c>
      <c r="C309" s="720">
        <v>431331.05</v>
      </c>
      <c r="D309" s="720">
        <v>0</v>
      </c>
      <c r="E309" s="720">
        <v>431331.05</v>
      </c>
      <c r="F309" s="718" t="s">
        <v>2015</v>
      </c>
      <c r="G309" s="718" t="s">
        <v>2487</v>
      </c>
      <c r="H309" s="673" t="s">
        <v>2971</v>
      </c>
      <c r="I309" s="672"/>
      <c r="J309" s="672"/>
      <c r="K309" s="672"/>
      <c r="L309" s="149" t="str">
        <f t="shared" si="20"/>
        <v>623F</v>
      </c>
      <c r="M309" s="150" t="str">
        <f t="shared" si="21"/>
        <v>C/V - X5 xDRIVE50e</v>
      </c>
      <c r="N309" s="151">
        <f>+IF(OR($Q309=Parametres!$G$2,$Q309=Parametres!$G$3),I309,C309)</f>
        <v>431331.05</v>
      </c>
      <c r="O309" s="151">
        <f>+IF(OR($Q309=Parametres!$G$2,$Q309=Parametres!$G$3),J309,D309)</f>
        <v>0</v>
      </c>
      <c r="P309" s="151">
        <f>+IF(OR($Q309=Parametres!$G$2,$Q309=Parametres!$G$3),K309,E309)</f>
        <v>431331.05</v>
      </c>
      <c r="Q309" s="150" t="str">
        <f t="shared" si="22"/>
        <v>6-Coût des ventes</v>
      </c>
      <c r="R309" s="149" t="str">
        <f t="shared" si="23"/>
        <v>423F</v>
      </c>
      <c r="S309" s="150" t="str">
        <f t="shared" si="24"/>
        <v>_</v>
      </c>
      <c r="T309" s="152" t="str">
        <f>+VLOOKUP($L309,Data_Validation!$A:$D,1,0)</f>
        <v>623F</v>
      </c>
      <c r="U309" s="152" t="str">
        <f>+VLOOKUP($L309,Data_Validation!$A:$D,3,0)</f>
        <v>Véhicules neufs</v>
      </c>
      <c r="V309" s="152" t="str">
        <f>+VLOOKUP($L309,Data_Validation!$A:$D,4,0)</f>
        <v>Camions détail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1429</v>
      </c>
      <c r="B310" s="718" t="s">
        <v>657</v>
      </c>
      <c r="C310" s="720">
        <v>-750</v>
      </c>
      <c r="D310" s="720">
        <v>0</v>
      </c>
      <c r="E310" s="720">
        <v>-750</v>
      </c>
      <c r="F310" s="718" t="s">
        <v>2015</v>
      </c>
      <c r="G310" s="718" t="s">
        <v>619</v>
      </c>
      <c r="H310" s="666" t="s">
        <v>2971</v>
      </c>
      <c r="I310" s="665"/>
      <c r="J310" s="665"/>
      <c r="K310" s="665"/>
      <c r="L310" s="149" t="str">
        <f t="shared" si="20"/>
        <v>623G</v>
      </c>
      <c r="M310" s="150" t="str">
        <f t="shared" si="21"/>
        <v>C/V - X3 XDR M40I</v>
      </c>
      <c r="N310" s="151">
        <f>+IF(OR($Q310=Parametres!$G$2,$Q310=Parametres!$G$3),I310,C310)</f>
        <v>-750</v>
      </c>
      <c r="O310" s="151">
        <f>+IF(OR($Q310=Parametres!$G$2,$Q310=Parametres!$G$3),J310,D310)</f>
        <v>0</v>
      </c>
      <c r="P310" s="151">
        <f>+IF(OR($Q310=Parametres!$G$2,$Q310=Parametres!$G$3),K310,E310)</f>
        <v>-750</v>
      </c>
      <c r="Q310" s="150" t="str">
        <f t="shared" si="22"/>
        <v>6-Coût des ventes</v>
      </c>
      <c r="R310" s="149" t="str">
        <f t="shared" si="23"/>
        <v>423G</v>
      </c>
      <c r="S310" s="150" t="str">
        <f t="shared" si="24"/>
        <v>_</v>
      </c>
      <c r="T310" s="152" t="str">
        <f>+VLOOKUP($L310,Data_Validation!$A:$D,1,0)</f>
        <v>623G</v>
      </c>
      <c r="U310" s="152" t="str">
        <f>+VLOOKUP($L310,Data_Validation!$A:$D,3,0)</f>
        <v>Véhicules neufs</v>
      </c>
      <c r="V310" s="152" t="str">
        <f>+VLOOKUP($L310,Data_Validation!$A:$D,4,0)</f>
        <v>Camions détail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1871</v>
      </c>
      <c r="B311" s="718" t="s">
        <v>373</v>
      </c>
      <c r="C311" s="720">
        <v>0</v>
      </c>
      <c r="D311" s="720">
        <v>151152.04</v>
      </c>
      <c r="E311" s="720">
        <v>151152.04</v>
      </c>
      <c r="F311" s="718" t="s">
        <v>2015</v>
      </c>
      <c r="G311" s="718" t="s">
        <v>625</v>
      </c>
      <c r="H311" s="673" t="s">
        <v>2971</v>
      </c>
      <c r="I311" s="672"/>
      <c r="J311" s="672"/>
      <c r="K311" s="672"/>
      <c r="L311" s="149" t="str">
        <f t="shared" si="20"/>
        <v>630</v>
      </c>
      <c r="M311" s="150" t="str">
        <f t="shared" si="21"/>
        <v>C/V - M5 SEDAN</v>
      </c>
      <c r="N311" s="151">
        <f>+IF(OR($Q311=Parametres!$G$2,$Q311=Parametres!$G$3),I311,C311)</f>
        <v>0</v>
      </c>
      <c r="O311" s="151">
        <f>+IF(OR($Q311=Parametres!$G$2,$Q311=Parametres!$G$3),J311,D311)</f>
        <v>151152.04</v>
      </c>
      <c r="P311" s="151">
        <f>+IF(OR($Q311=Parametres!$G$2,$Q311=Parametres!$G$3),K311,E311)</f>
        <v>151152.04</v>
      </c>
      <c r="Q311" s="150" t="str">
        <f t="shared" si="22"/>
        <v>6-Coût des ventes</v>
      </c>
      <c r="R311" s="149" t="str">
        <f t="shared" si="23"/>
        <v>430</v>
      </c>
      <c r="S311" s="150" t="str">
        <f t="shared" si="24"/>
        <v>_</v>
      </c>
      <c r="T311" s="152" t="str">
        <f>+VLOOKUP($L311,Data_Validation!$A:$D,1,0)</f>
        <v>630</v>
      </c>
      <c r="U311" s="152" t="str">
        <f>+VLOOKUP($L311,Data_Validation!$A:$D,3,0)</f>
        <v>Véhicules neufs</v>
      </c>
      <c r="V311" s="152" t="str">
        <f>+VLOOKUP($L311,Data_Validation!$A:$D,4,0)</f>
        <v>Autos détail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1707</v>
      </c>
      <c r="B312" s="718" t="s">
        <v>1708</v>
      </c>
      <c r="C312" s="720">
        <v>3290</v>
      </c>
      <c r="D312" s="720">
        <v>5823.9</v>
      </c>
      <c r="E312" s="720">
        <v>9113.9</v>
      </c>
      <c r="F312" s="718" t="s">
        <v>2015</v>
      </c>
      <c r="G312" s="718" t="s">
        <v>625</v>
      </c>
      <c r="H312" s="666" t="s">
        <v>2971</v>
      </c>
      <c r="I312" s="665"/>
      <c r="J312" s="665"/>
      <c r="K312" s="665"/>
      <c r="L312" s="149" t="str">
        <f t="shared" si="20"/>
        <v>630A</v>
      </c>
      <c r="M312" s="150" t="str">
        <f t="shared" si="21"/>
        <v>C/V - MARQUAGE OTOPROTEC NEUF BMW AUTO</v>
      </c>
      <c r="N312" s="151">
        <f>+IF(OR($Q312=Parametres!$G$2,$Q312=Parametres!$G$3),I312,C312)</f>
        <v>3290</v>
      </c>
      <c r="O312" s="151">
        <f>+IF(OR($Q312=Parametres!$G$2,$Q312=Parametres!$G$3),J312,D312)</f>
        <v>5823.9</v>
      </c>
      <c r="P312" s="151">
        <f>+IF(OR($Q312=Parametres!$G$2,$Q312=Parametres!$G$3),K312,E312)</f>
        <v>9113.9</v>
      </c>
      <c r="Q312" s="150" t="str">
        <f t="shared" si="22"/>
        <v>6-Coût des ventes</v>
      </c>
      <c r="R312" s="149" t="str">
        <f t="shared" si="23"/>
        <v>430</v>
      </c>
      <c r="S312" s="150" t="str">
        <f t="shared" si="24"/>
        <v>_</v>
      </c>
      <c r="T312" s="152" t="str">
        <f>+VLOOKUP($L312,Data_Validation!$A:$D,1,0)</f>
        <v>630A</v>
      </c>
      <c r="U312" s="152" t="str">
        <f>+VLOOKUP($L312,Data_Validation!$A:$D,3,0)</f>
        <v>Véhicules neufs</v>
      </c>
      <c r="V312" s="152" t="str">
        <f>+VLOOKUP($L312,Data_Validation!$A:$D,4,0)</f>
        <v>Rev. Autres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1431</v>
      </c>
      <c r="B313" s="718" t="s">
        <v>1432</v>
      </c>
      <c r="C313" s="719">
        <v>5022.5</v>
      </c>
      <c r="D313" s="719">
        <v>11669.5</v>
      </c>
      <c r="E313" s="719">
        <v>16692</v>
      </c>
      <c r="F313" s="718" t="s">
        <v>2015</v>
      </c>
      <c r="G313" s="718" t="s">
        <v>625</v>
      </c>
      <c r="H313" s="719" t="s">
        <v>2971</v>
      </c>
      <c r="I313" s="720"/>
      <c r="J313" s="720"/>
      <c r="K313" s="720"/>
      <c r="L313" s="149" t="str">
        <f t="shared" si="20"/>
        <v>630C</v>
      </c>
      <c r="M313" s="150" t="str">
        <f t="shared" si="21"/>
        <v>C/V - ACCESSOIRES NEUF BMW AUTO</v>
      </c>
      <c r="N313" s="151">
        <f>+IF(OR($Q313=Parametres!$G$2,$Q313=Parametres!$G$3),I313,C313)</f>
        <v>5022.5</v>
      </c>
      <c r="O313" s="151">
        <f>+IF(OR($Q313=Parametres!$G$2,$Q313=Parametres!$G$3),J313,D313)</f>
        <v>11669.5</v>
      </c>
      <c r="P313" s="151">
        <f>+IF(OR($Q313=Parametres!$G$2,$Q313=Parametres!$G$3),K313,E313)</f>
        <v>16692</v>
      </c>
      <c r="Q313" s="150" t="str">
        <f t="shared" si="22"/>
        <v>6-Coût des ventes</v>
      </c>
      <c r="R313" s="149" t="str">
        <f t="shared" si="23"/>
        <v>430</v>
      </c>
      <c r="S313" s="150" t="str">
        <f t="shared" si="24"/>
        <v>_</v>
      </c>
      <c r="T313" s="152" t="str">
        <f>+VLOOKUP($L313,Data_Validation!$A:$D,1,0)</f>
        <v>630C</v>
      </c>
      <c r="U313" s="152" t="str">
        <f>+VLOOKUP($L313,Data_Validation!$A:$D,3,0)</f>
        <v>Véhicules neufs</v>
      </c>
      <c r="V313" s="152" t="str">
        <f>+VLOOKUP($L313,Data_Validation!$A:$D,4,0)</f>
        <v>Rev. Autres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1714</v>
      </c>
      <c r="B314" s="718" t="s">
        <v>1715</v>
      </c>
      <c r="C314" s="720">
        <v>18737.580000000002</v>
      </c>
      <c r="D314" s="720">
        <v>16150</v>
      </c>
      <c r="E314" s="720">
        <v>34887.58</v>
      </c>
      <c r="F314" s="718" t="s">
        <v>2015</v>
      </c>
      <c r="G314" s="718" t="s">
        <v>625</v>
      </c>
      <c r="H314" s="673" t="s">
        <v>2971</v>
      </c>
      <c r="I314" s="672"/>
      <c r="J314" s="672"/>
      <c r="K314" s="672"/>
      <c r="L314" s="149" t="str">
        <f t="shared" si="20"/>
        <v>630E</v>
      </c>
      <c r="M314" s="150" t="str">
        <f t="shared" si="21"/>
        <v>C/V - PROTEC ESTHETIQUE NAUF BMW AUTO</v>
      </c>
      <c r="N314" s="151">
        <f>+IF(OR($Q314=Parametres!$G$2,$Q314=Parametres!$G$3),I314,C314)</f>
        <v>18737.580000000002</v>
      </c>
      <c r="O314" s="151">
        <f>+IF(OR($Q314=Parametres!$G$2,$Q314=Parametres!$G$3),J314,D314)</f>
        <v>16150</v>
      </c>
      <c r="P314" s="151">
        <f>+IF(OR($Q314=Parametres!$G$2,$Q314=Parametres!$G$3),K314,E314)</f>
        <v>34887.58</v>
      </c>
      <c r="Q314" s="150" t="str">
        <f t="shared" si="22"/>
        <v>6-Coût des ventes</v>
      </c>
      <c r="R314" s="149" t="str">
        <f t="shared" si="23"/>
        <v>430</v>
      </c>
      <c r="S314" s="150" t="str">
        <f t="shared" si="24"/>
        <v>_</v>
      </c>
      <c r="T314" s="152" t="str">
        <f>+VLOOKUP($L314,Data_Validation!$A:$D,1,0)</f>
        <v>630E</v>
      </c>
      <c r="U314" s="152" t="str">
        <f>+VLOOKUP($L314,Data_Validation!$A:$D,3,0)</f>
        <v>Véhicules neufs</v>
      </c>
      <c r="V314" s="152" t="str">
        <f>+VLOOKUP($L314,Data_Validation!$A:$D,4,0)</f>
        <v>Rev. Protections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1433</v>
      </c>
      <c r="B315" s="671" t="s">
        <v>1064</v>
      </c>
      <c r="C315" s="672">
        <v>1425</v>
      </c>
      <c r="D315" s="672">
        <v>955</v>
      </c>
      <c r="E315" s="672">
        <v>2380</v>
      </c>
      <c r="F315" s="671" t="s">
        <v>2015</v>
      </c>
      <c r="G315" s="671" t="s">
        <v>625</v>
      </c>
      <c r="H315" s="666" t="s">
        <v>2971</v>
      </c>
      <c r="I315" s="665"/>
      <c r="J315" s="665"/>
      <c r="K315" s="665"/>
      <c r="L315" s="149" t="str">
        <f t="shared" si="20"/>
        <v>630P</v>
      </c>
      <c r="M315" s="150" t="str">
        <f t="shared" si="21"/>
        <v>C/V - PROTEC PNEUS/JANTES NEUF BMW AUTO</v>
      </c>
      <c r="N315" s="151">
        <f>+IF(OR($Q315=Parametres!$G$2,$Q315=Parametres!$G$3),I315,C315)</f>
        <v>1425</v>
      </c>
      <c r="O315" s="151">
        <f>+IF(OR($Q315=Parametres!$G$2,$Q315=Parametres!$G$3),J315,D315)</f>
        <v>955</v>
      </c>
      <c r="P315" s="151">
        <f>+IF(OR($Q315=Parametres!$G$2,$Q315=Parametres!$G$3),K315,E315)</f>
        <v>2380</v>
      </c>
      <c r="Q315" s="150" t="str">
        <f t="shared" si="22"/>
        <v>6-Coût des ventes</v>
      </c>
      <c r="R315" s="149" t="str">
        <f t="shared" si="23"/>
        <v>430</v>
      </c>
      <c r="S315" s="150" t="str">
        <f t="shared" si="24"/>
        <v>_</v>
      </c>
      <c r="T315" s="152" t="str">
        <f>+VLOOKUP($L315,Data_Validation!$A:$D,1,0)</f>
        <v>630P</v>
      </c>
      <c r="U315" s="152" t="str">
        <f>+VLOOKUP($L315,Data_Validation!$A:$D,3,0)</f>
        <v>Véhicules neufs</v>
      </c>
      <c r="V315" s="152" t="str">
        <f>+VLOOKUP($L315,Data_Validation!$A:$D,4,0)</f>
        <v>Rev. Protections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1948</v>
      </c>
      <c r="B316" s="671" t="s">
        <v>1949</v>
      </c>
      <c r="C316" s="672">
        <v>0</v>
      </c>
      <c r="D316" s="672">
        <v>9189.09</v>
      </c>
      <c r="E316" s="672">
        <v>9189.09</v>
      </c>
      <c r="F316" s="671" t="s">
        <v>2015</v>
      </c>
      <c r="G316" s="671" t="s">
        <v>625</v>
      </c>
      <c r="H316" s="666" t="s">
        <v>2971</v>
      </c>
      <c r="I316" s="665"/>
      <c r="J316" s="665"/>
      <c r="K316" s="665"/>
      <c r="L316" s="149" t="str">
        <f t="shared" si="20"/>
        <v>630R</v>
      </c>
      <c r="M316" s="150" t="str">
        <f t="shared" si="21"/>
        <v>C/V - ASS. REMP. NEUF BMW AUTO</v>
      </c>
      <c r="N316" s="151">
        <f>+IF(OR($Q316=Parametres!$G$2,$Q316=Parametres!$G$3),I316,C316)</f>
        <v>0</v>
      </c>
      <c r="O316" s="151">
        <f>+IF(OR($Q316=Parametres!$G$2,$Q316=Parametres!$G$3),J316,D316)</f>
        <v>9189.09</v>
      </c>
      <c r="P316" s="151">
        <f>+IF(OR($Q316=Parametres!$G$2,$Q316=Parametres!$G$3),K316,E316)</f>
        <v>9189.09</v>
      </c>
      <c r="Q316" s="150" t="str">
        <f t="shared" si="22"/>
        <v>6-Coût des ventes</v>
      </c>
      <c r="R316" s="149" t="str">
        <f t="shared" si="23"/>
        <v>430</v>
      </c>
      <c r="S316" s="150" t="str">
        <f t="shared" si="24"/>
        <v>_</v>
      </c>
      <c r="T316" s="152" t="str">
        <f>+VLOOKUP($L316,Data_Validation!$A:$D,1,0)</f>
        <v>630R</v>
      </c>
      <c r="U316" s="152" t="str">
        <f>+VLOOKUP($L316,Data_Validation!$A:$D,3,0)</f>
        <v>Véhicules neufs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1642</v>
      </c>
      <c r="B317" s="718" t="s">
        <v>1643</v>
      </c>
      <c r="C317" s="719">
        <v>285</v>
      </c>
      <c r="D317" s="719">
        <v>4076.3</v>
      </c>
      <c r="E317" s="719">
        <v>4361.3</v>
      </c>
      <c r="F317" s="718" t="s">
        <v>2015</v>
      </c>
      <c r="G317" s="718" t="s">
        <v>625</v>
      </c>
      <c r="H317" s="719" t="s">
        <v>2971</v>
      </c>
      <c r="I317" s="720"/>
      <c r="J317" s="720"/>
      <c r="K317" s="720"/>
      <c r="L317" s="149" t="str">
        <f t="shared" si="20"/>
        <v>630T</v>
      </c>
      <c r="M317" s="150" t="str">
        <f t="shared" si="21"/>
        <v>C/V - TRAITEMENT OTOPROTEC NEUF BMW AUTO</v>
      </c>
      <c r="N317" s="151">
        <f>+IF(OR($Q317=Parametres!$G$2,$Q317=Parametres!$G$3),I317,C317)</f>
        <v>285</v>
      </c>
      <c r="O317" s="151">
        <f>+IF(OR($Q317=Parametres!$G$2,$Q317=Parametres!$G$3),J317,D317)</f>
        <v>4076.3</v>
      </c>
      <c r="P317" s="151">
        <f>+IF(OR($Q317=Parametres!$G$2,$Q317=Parametres!$G$3),K317,E317)</f>
        <v>4361.3</v>
      </c>
      <c r="Q317" s="150" t="str">
        <f t="shared" si="22"/>
        <v>6-Coût des ventes</v>
      </c>
      <c r="R317" s="149" t="str">
        <f t="shared" si="23"/>
        <v>430</v>
      </c>
      <c r="S317" s="150" t="str">
        <f t="shared" si="24"/>
        <v>_</v>
      </c>
      <c r="T317" s="152" t="str">
        <f>+VLOOKUP($L317,Data_Validation!$A:$D,1,0)</f>
        <v>630T</v>
      </c>
      <c r="U317" s="152" t="str">
        <f>+VLOOKUP($L317,Data_Validation!$A:$D,3,0)</f>
        <v>Véhicules neufs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1809</v>
      </c>
      <c r="B318" s="718" t="s">
        <v>1810</v>
      </c>
      <c r="C318" s="719">
        <v>19360</v>
      </c>
      <c r="D318" s="719">
        <v>17072</v>
      </c>
      <c r="E318" s="719">
        <v>36432</v>
      </c>
      <c r="F318" s="718" t="s">
        <v>2015</v>
      </c>
      <c r="G318" s="718" t="s">
        <v>625</v>
      </c>
      <c r="H318" s="719" t="s">
        <v>2971</v>
      </c>
      <c r="I318" s="720"/>
      <c r="J318" s="720"/>
      <c r="K318" s="720"/>
      <c r="L318" s="149" t="str">
        <f t="shared" si="20"/>
        <v>630U</v>
      </c>
      <c r="M318" s="150" t="str">
        <f t="shared" si="21"/>
        <v>C/V - ASSIST USURE NEUF BMW AUTO</v>
      </c>
      <c r="N318" s="151">
        <f>+IF(OR($Q318=Parametres!$G$2,$Q318=Parametres!$G$3),I318,C318)</f>
        <v>19360</v>
      </c>
      <c r="O318" s="151">
        <f>+IF(OR($Q318=Parametres!$G$2,$Q318=Parametres!$G$3),J318,D318)</f>
        <v>17072</v>
      </c>
      <c r="P318" s="151">
        <f>+IF(OR($Q318=Parametres!$G$2,$Q318=Parametres!$G$3),K318,E318)</f>
        <v>36432</v>
      </c>
      <c r="Q318" s="150" t="str">
        <f t="shared" si="22"/>
        <v>6-Coût des ventes</v>
      </c>
      <c r="R318" s="149" t="str">
        <f t="shared" si="23"/>
        <v>430</v>
      </c>
      <c r="S318" s="150" t="str">
        <f t="shared" si="24"/>
        <v>_</v>
      </c>
      <c r="T318" s="152" t="str">
        <f>+VLOOKUP($L318,Data_Validation!$A:$D,1,0)</f>
        <v>630U</v>
      </c>
      <c r="U318" s="152" t="str">
        <f>+VLOOKUP($L318,Data_Validation!$A:$D,3,0)</f>
        <v>Véhicules neufs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2057</v>
      </c>
      <c r="B319" s="671" t="s">
        <v>2058</v>
      </c>
      <c r="C319" s="672">
        <v>290329</v>
      </c>
      <c r="D319" s="672">
        <v>300</v>
      </c>
      <c r="E319" s="672">
        <v>290629</v>
      </c>
      <c r="F319" s="671" t="s">
        <v>2015</v>
      </c>
      <c r="G319" s="671" t="s">
        <v>2012</v>
      </c>
      <c r="H319" s="666" t="s">
        <v>2971</v>
      </c>
      <c r="I319" s="665"/>
      <c r="J319" s="665"/>
      <c r="K319" s="665"/>
      <c r="L319" s="149" t="str">
        <f t="shared" si="20"/>
        <v>632</v>
      </c>
      <c r="M319" s="150" t="str">
        <f t="shared" si="21"/>
        <v>C/V - 530E XDRIVE</v>
      </c>
      <c r="N319" s="151">
        <f>+IF(OR($Q319=Parametres!$G$2,$Q319=Parametres!$G$3),I319,C319)</f>
        <v>290329</v>
      </c>
      <c r="O319" s="151">
        <f>+IF(OR($Q319=Parametres!$G$2,$Q319=Parametres!$G$3),J319,D319)</f>
        <v>300</v>
      </c>
      <c r="P319" s="151">
        <f>+IF(OR($Q319=Parametres!$G$2,$Q319=Parametres!$G$3),K319,E319)</f>
        <v>290629</v>
      </c>
      <c r="Q319" s="150" t="str">
        <f t="shared" si="22"/>
        <v>6-Coût des ventes</v>
      </c>
      <c r="R319" s="149" t="str">
        <f t="shared" si="23"/>
        <v>432</v>
      </c>
      <c r="S319" s="150" t="str">
        <f t="shared" si="24"/>
        <v>_</v>
      </c>
      <c r="T319" s="152" t="str">
        <f>+VLOOKUP($L319,Data_Validation!$A:$D,1,0)</f>
        <v>632</v>
      </c>
      <c r="U319" s="152" t="str">
        <f>+VLOOKUP($L319,Data_Validation!$A:$D,3,0)</f>
        <v>Véhicules neufs</v>
      </c>
      <c r="V319" s="152" t="str">
        <f>+VLOOKUP($L319,Data_Validation!$A:$D,4,0)</f>
        <v>Autos détail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1801</v>
      </c>
      <c r="B320" s="718" t="s">
        <v>664</v>
      </c>
      <c r="C320" s="719">
        <v>7902</v>
      </c>
      <c r="D320" s="719">
        <v>13245</v>
      </c>
      <c r="E320" s="719">
        <v>21147</v>
      </c>
      <c r="F320" s="718" t="s">
        <v>2015</v>
      </c>
      <c r="G320" s="718" t="s">
        <v>2012</v>
      </c>
      <c r="H320" s="719" t="s">
        <v>2971</v>
      </c>
      <c r="I320" s="720"/>
      <c r="J320" s="720"/>
      <c r="K320" s="720"/>
      <c r="L320" s="149" t="str">
        <f t="shared" si="20"/>
        <v>632A</v>
      </c>
      <c r="M320" s="150" t="str">
        <f t="shared" si="21"/>
        <v>C/V - GAR PROL NEUF BMW AUTO</v>
      </c>
      <c r="N320" s="151">
        <f>+IF(OR($Q320=Parametres!$G$2,$Q320=Parametres!$G$3),I320,C320)</f>
        <v>7902</v>
      </c>
      <c r="O320" s="151">
        <f>+IF(OR($Q320=Parametres!$G$2,$Q320=Parametres!$G$3),J320,D320)</f>
        <v>13245</v>
      </c>
      <c r="P320" s="151">
        <f>+IF(OR($Q320=Parametres!$G$2,$Q320=Parametres!$G$3),K320,E320)</f>
        <v>21147</v>
      </c>
      <c r="Q320" s="150" t="str">
        <f t="shared" si="22"/>
        <v>6-Coût des ventes</v>
      </c>
      <c r="R320" s="149" t="str">
        <f t="shared" si="23"/>
        <v>432</v>
      </c>
      <c r="S320" s="150" t="str">
        <f t="shared" si="24"/>
        <v>_</v>
      </c>
      <c r="T320" s="152" t="str">
        <f>+VLOOKUP($L320,Data_Validation!$A:$D,1,0)</f>
        <v>632A</v>
      </c>
      <c r="U320" s="152" t="str">
        <f>+VLOOKUP($L320,Data_Validation!$A:$D,3,0)</f>
        <v>Véhicules neufs</v>
      </c>
      <c r="V320" s="152" t="str">
        <f>+VLOOKUP($L320,Data_Validation!$A:$D,4,0)</f>
        <v>Rev. Protections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2103</v>
      </c>
      <c r="B321" s="718" t="s">
        <v>2102</v>
      </c>
      <c r="C321" s="720">
        <v>7222.1</v>
      </c>
      <c r="D321" s="720">
        <v>18784.419999999998</v>
      </c>
      <c r="E321" s="720">
        <v>26006.52</v>
      </c>
      <c r="F321" s="718" t="s">
        <v>2015</v>
      </c>
      <c r="G321" s="718" t="s">
        <v>2360</v>
      </c>
      <c r="H321" s="673" t="s">
        <v>2971</v>
      </c>
      <c r="I321" s="672"/>
      <c r="J321" s="672"/>
      <c r="K321" s="672"/>
      <c r="L321" s="149" t="str">
        <f t="shared" si="20"/>
        <v>634A</v>
      </c>
      <c r="M321" s="150" t="str">
        <f t="shared" si="21"/>
        <v>C/V - CONT ENTRET NEUF BMW AUTO</v>
      </c>
      <c r="N321" s="151">
        <f>+IF(OR($Q321=Parametres!$G$2,$Q321=Parametres!$G$3),I321,C321)</f>
        <v>7222.1</v>
      </c>
      <c r="O321" s="151">
        <f>+IF(OR($Q321=Parametres!$G$2,$Q321=Parametres!$G$3),J321,D321)</f>
        <v>18784.419999999998</v>
      </c>
      <c r="P321" s="151">
        <f>+IF(OR($Q321=Parametres!$G$2,$Q321=Parametres!$G$3),K321,E321)</f>
        <v>26006.52</v>
      </c>
      <c r="Q321" s="150" t="str">
        <f t="shared" si="22"/>
        <v>6-Coût des ventes</v>
      </c>
      <c r="R321" s="149" t="str">
        <f t="shared" si="23"/>
        <v>434</v>
      </c>
      <c r="S321" s="150" t="str">
        <f t="shared" si="24"/>
        <v>_</v>
      </c>
      <c r="T321" s="152" t="str">
        <f>+VLOOKUP($L321,Data_Validation!$A:$D,1,0)</f>
        <v>634A</v>
      </c>
      <c r="U321" s="152" t="str">
        <f>+VLOOKUP($L321,Data_Validation!$A:$D,3,0)</f>
        <v>Véhicules neufs</v>
      </c>
      <c r="V321" s="152" t="str">
        <f>+VLOOKUP($L321,Data_Validation!$A:$D,4,0)</f>
        <v>Rev. Protections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1828</v>
      </c>
      <c r="B322" s="718" t="s">
        <v>973</v>
      </c>
      <c r="C322" s="720">
        <v>274404.92</v>
      </c>
      <c r="D322" s="720">
        <v>108399.84</v>
      </c>
      <c r="E322" s="720">
        <v>382804.76</v>
      </c>
      <c r="F322" s="718" t="s">
        <v>2015</v>
      </c>
      <c r="G322" s="718" t="s">
        <v>420</v>
      </c>
      <c r="H322" s="673" t="s">
        <v>2971</v>
      </c>
      <c r="I322" s="672"/>
      <c r="J322" s="672"/>
      <c r="K322" s="672"/>
      <c r="L322" s="149" t="str">
        <f t="shared" ref="L322:L385" si="25">+B322</f>
        <v>640A</v>
      </c>
      <c r="M322" s="150" t="str">
        <f t="shared" ref="M322:M385" si="26">+A322</f>
        <v>C/V - USAGE BMW AUTO CERT</v>
      </c>
      <c r="N322" s="151">
        <f>+IF(OR($Q322=Parametres!$G$2,$Q322=Parametres!$G$3),I322,C322)</f>
        <v>274404.92</v>
      </c>
      <c r="O322" s="151">
        <f>+IF(OR($Q322=Parametres!$G$2,$Q322=Parametres!$G$3),J322,D322)</f>
        <v>108399.84</v>
      </c>
      <c r="P322" s="151">
        <f>+IF(OR($Q322=Parametres!$G$2,$Q322=Parametres!$G$3),K322,E322)</f>
        <v>382804.76</v>
      </c>
      <c r="Q322" s="150" t="str">
        <f t="shared" ref="Q322:Q385" si="27">+F322</f>
        <v>6-Coût des ventes</v>
      </c>
      <c r="R322" s="149" t="str">
        <f t="shared" ref="R322:R385" si="28">+G322</f>
        <v>440A</v>
      </c>
      <c r="S322" s="150" t="str">
        <f t="shared" ref="S322:S385" si="29">+H322</f>
        <v>_</v>
      </c>
      <c r="T322" s="152" t="str">
        <f>+VLOOKUP($L322,Data_Validation!$A:$D,1,0)</f>
        <v>640A</v>
      </c>
      <c r="U322" s="152" t="str">
        <f>+VLOOKUP($L322,Data_Validation!$A:$D,3,0)</f>
        <v>Véhicules usagés</v>
      </c>
      <c r="V322" s="152" t="str">
        <f>+VLOOKUP($L322,Data_Validation!$A:$D,4,0)</f>
        <v>Certifié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1435</v>
      </c>
      <c r="B323" s="718" t="s">
        <v>975</v>
      </c>
      <c r="C323" s="719">
        <v>212134.62</v>
      </c>
      <c r="D323" s="719">
        <v>308732.59000000003</v>
      </c>
      <c r="E323" s="719">
        <v>520867.21</v>
      </c>
      <c r="F323" s="718" t="s">
        <v>2015</v>
      </c>
      <c r="G323" s="718" t="s">
        <v>416</v>
      </c>
      <c r="H323" s="719" t="s">
        <v>2971</v>
      </c>
      <c r="I323" s="720"/>
      <c r="J323" s="720"/>
      <c r="K323" s="720"/>
      <c r="L323" s="149" t="str">
        <f t="shared" si="25"/>
        <v>640B</v>
      </c>
      <c r="M323" s="150" t="str">
        <f t="shared" si="26"/>
        <v>C/V - USAGE BMW AUTO NON-CERT</v>
      </c>
      <c r="N323" s="151">
        <f>+IF(OR($Q323=Parametres!$G$2,$Q323=Parametres!$G$3),I323,C323)</f>
        <v>212134.62</v>
      </c>
      <c r="O323" s="151">
        <f>+IF(OR($Q323=Parametres!$G$2,$Q323=Parametres!$G$3),J323,D323)</f>
        <v>308732.59000000003</v>
      </c>
      <c r="P323" s="151">
        <f>+IF(OR($Q323=Parametres!$G$2,$Q323=Parametres!$G$3),K323,E323)</f>
        <v>520867.21</v>
      </c>
      <c r="Q323" s="150" t="str">
        <f t="shared" si="27"/>
        <v>6-Coût des ventes</v>
      </c>
      <c r="R323" s="149" t="str">
        <f t="shared" si="28"/>
        <v>440B</v>
      </c>
      <c r="S323" s="150" t="str">
        <f t="shared" si="29"/>
        <v>_</v>
      </c>
      <c r="T323" s="152" t="str">
        <f>+VLOOKUP($L323,Data_Validation!$A:$D,1,0)</f>
        <v>640B</v>
      </c>
      <c r="U323" s="152" t="str">
        <f>+VLOOKUP($L323,Data_Validation!$A:$D,3,0)</f>
        <v>Véhicules usagés</v>
      </c>
      <c r="V323" s="152" t="str">
        <f>+VLOOKUP($L323,Data_Validation!$A:$D,4,0)</f>
        <v>Non Certifié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1756</v>
      </c>
      <c r="B324" s="718" t="s">
        <v>946</v>
      </c>
      <c r="C324" s="719">
        <v>5317.18</v>
      </c>
      <c r="D324" s="719">
        <v>1496.8</v>
      </c>
      <c r="E324" s="719">
        <v>6813.98</v>
      </c>
      <c r="F324" s="718" t="s">
        <v>2015</v>
      </c>
      <c r="G324" s="718" t="s">
        <v>420</v>
      </c>
      <c r="H324" s="719" t="s">
        <v>2971</v>
      </c>
      <c r="I324" s="720"/>
      <c r="J324" s="720"/>
      <c r="K324" s="720"/>
      <c r="L324" s="149" t="str">
        <f t="shared" si="25"/>
        <v>641A</v>
      </c>
      <c r="M324" s="150" t="str">
        <f t="shared" si="26"/>
        <v>C/V - RECOND. BMW AUTO CERT</v>
      </c>
      <c r="N324" s="151">
        <f>+IF(OR($Q324=Parametres!$G$2,$Q324=Parametres!$G$3),I324,C324)</f>
        <v>5317.18</v>
      </c>
      <c r="O324" s="151">
        <f>+IF(OR($Q324=Parametres!$G$2,$Q324=Parametres!$G$3),J324,D324)</f>
        <v>1496.8</v>
      </c>
      <c r="P324" s="151">
        <f>+IF(OR($Q324=Parametres!$G$2,$Q324=Parametres!$G$3),K324,E324)</f>
        <v>6813.98</v>
      </c>
      <c r="Q324" s="150" t="str">
        <f t="shared" si="27"/>
        <v>6-Coût des ventes</v>
      </c>
      <c r="R324" s="149" t="str">
        <f t="shared" si="28"/>
        <v>440A</v>
      </c>
      <c r="S324" s="150" t="str">
        <f t="shared" si="29"/>
        <v>_</v>
      </c>
      <c r="T324" s="152" t="str">
        <f>+VLOOKUP($L324,Data_Validation!$A:$D,1,0)</f>
        <v>641A</v>
      </c>
      <c r="U324" s="152" t="str">
        <f>+VLOOKUP($L324,Data_Validation!$A:$D,3,0)</f>
        <v>Véhicules usagés</v>
      </c>
      <c r="V324" s="152" t="str">
        <f>+VLOOKUP($L324,Data_Validation!$A:$D,4,0)</f>
        <v>Certifié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1436</v>
      </c>
      <c r="B325" s="671" t="s">
        <v>935</v>
      </c>
      <c r="C325" s="672">
        <v>8835</v>
      </c>
      <c r="D325" s="672">
        <v>16885.240000000002</v>
      </c>
      <c r="E325" s="672">
        <v>25720.240000000002</v>
      </c>
      <c r="F325" s="671" t="s">
        <v>2015</v>
      </c>
      <c r="G325" s="671" t="s">
        <v>416</v>
      </c>
      <c r="H325" s="666" t="s">
        <v>2971</v>
      </c>
      <c r="I325" s="665"/>
      <c r="J325" s="665"/>
      <c r="K325" s="665"/>
      <c r="L325" s="149" t="str">
        <f t="shared" si="25"/>
        <v>641B</v>
      </c>
      <c r="M325" s="150" t="str">
        <f t="shared" si="26"/>
        <v>C/V - RECOND. BMW AUTO NON-CERT</v>
      </c>
      <c r="N325" s="151">
        <f>+IF(OR($Q325=Parametres!$G$2,$Q325=Parametres!$G$3),I325,C325)</f>
        <v>8835</v>
      </c>
      <c r="O325" s="151">
        <f>+IF(OR($Q325=Parametres!$G$2,$Q325=Parametres!$G$3),J325,D325)</f>
        <v>16885.240000000002</v>
      </c>
      <c r="P325" s="151">
        <f>+IF(OR($Q325=Parametres!$G$2,$Q325=Parametres!$G$3),K325,E325)</f>
        <v>25720.240000000002</v>
      </c>
      <c r="Q325" s="150" t="str">
        <f t="shared" si="27"/>
        <v>6-Coût des ventes</v>
      </c>
      <c r="R325" s="149" t="str">
        <f t="shared" si="28"/>
        <v>440B</v>
      </c>
      <c r="S325" s="150" t="str">
        <f t="shared" si="29"/>
        <v>_</v>
      </c>
      <c r="T325" s="152" t="str">
        <f>+VLOOKUP($L325,Data_Validation!$A:$D,1,0)</f>
        <v>641B</v>
      </c>
      <c r="U325" s="152" t="str">
        <f>+VLOOKUP($L325,Data_Validation!$A:$D,3,0)</f>
        <v>Véhicules usagés</v>
      </c>
      <c r="V325" s="152" t="str">
        <f>+VLOOKUP($L325,Data_Validation!$A:$D,4,0)</f>
        <v>Non Certifié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1841</v>
      </c>
      <c r="B326" s="718" t="s">
        <v>665</v>
      </c>
      <c r="C326" s="720">
        <v>419894.92</v>
      </c>
      <c r="D326" s="720">
        <v>152548.17000000001</v>
      </c>
      <c r="E326" s="720">
        <v>572443.09</v>
      </c>
      <c r="F326" s="718" t="s">
        <v>2015</v>
      </c>
      <c r="G326" s="718" t="s">
        <v>384</v>
      </c>
      <c r="H326" s="673" t="s">
        <v>2971</v>
      </c>
      <c r="I326" s="672"/>
      <c r="J326" s="672"/>
      <c r="K326" s="672"/>
      <c r="L326" s="149" t="str">
        <f t="shared" si="25"/>
        <v>642</v>
      </c>
      <c r="M326" s="150" t="str">
        <f t="shared" si="26"/>
        <v>C/V - USAGE AUTRES</v>
      </c>
      <c r="N326" s="151">
        <f>+IF(OR($Q326=Parametres!$G$2,$Q326=Parametres!$G$3),I326,C326)</f>
        <v>419894.92</v>
      </c>
      <c r="O326" s="151">
        <f>+IF(OR($Q326=Parametres!$G$2,$Q326=Parametres!$G$3),J326,D326)</f>
        <v>152548.17000000001</v>
      </c>
      <c r="P326" s="151">
        <f>+IF(OR($Q326=Parametres!$G$2,$Q326=Parametres!$G$3),K326,E326)</f>
        <v>572443.09</v>
      </c>
      <c r="Q326" s="150" t="str">
        <f t="shared" si="27"/>
        <v>6-Coût des ventes</v>
      </c>
      <c r="R326" s="149" t="str">
        <f t="shared" si="28"/>
        <v>442</v>
      </c>
      <c r="S326" s="150" t="str">
        <f t="shared" si="29"/>
        <v>_</v>
      </c>
      <c r="T326" s="152" t="str">
        <f>+VLOOKUP($L326,Data_Validation!$A:$D,1,0)</f>
        <v>642</v>
      </c>
      <c r="U326" s="152" t="str">
        <f>+VLOOKUP($L326,Data_Validation!$A:$D,3,0)</f>
        <v>Véhicules usagés</v>
      </c>
      <c r="V326" s="152" t="str">
        <f>+VLOOKUP($L326,Data_Validation!$A:$D,4,0)</f>
        <v>Autres marques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1738</v>
      </c>
      <c r="B327" s="718" t="s">
        <v>666</v>
      </c>
      <c r="C327" s="719">
        <v>20221.599999999999</v>
      </c>
      <c r="D327" s="719">
        <v>4913.37</v>
      </c>
      <c r="E327" s="719">
        <v>25134.97</v>
      </c>
      <c r="F327" s="718" t="s">
        <v>2015</v>
      </c>
      <c r="G327" s="718" t="s">
        <v>384</v>
      </c>
      <c r="H327" s="719" t="s">
        <v>2971</v>
      </c>
      <c r="I327" s="720"/>
      <c r="J327" s="720"/>
      <c r="K327" s="720"/>
      <c r="L327" s="149" t="str">
        <f t="shared" si="25"/>
        <v>643</v>
      </c>
      <c r="M327" s="150" t="str">
        <f t="shared" si="26"/>
        <v>C/V - RECOND. AUTRES</v>
      </c>
      <c r="N327" s="151">
        <f>+IF(OR($Q327=Parametres!$G$2,$Q327=Parametres!$G$3),I327,C327)</f>
        <v>20221.599999999999</v>
      </c>
      <c r="O327" s="151">
        <f>+IF(OR($Q327=Parametres!$G$2,$Q327=Parametres!$G$3),J327,D327)</f>
        <v>4913.37</v>
      </c>
      <c r="P327" s="151">
        <f>+IF(OR($Q327=Parametres!$G$2,$Q327=Parametres!$G$3),K327,E327)</f>
        <v>25134.97</v>
      </c>
      <c r="Q327" s="150" t="str">
        <f t="shared" si="27"/>
        <v>6-Coût des ventes</v>
      </c>
      <c r="R327" s="149" t="str">
        <f t="shared" si="28"/>
        <v>442</v>
      </c>
      <c r="S327" s="150" t="str">
        <f t="shared" si="29"/>
        <v>_</v>
      </c>
      <c r="T327" s="152" t="str">
        <f>+VLOOKUP($L327,Data_Validation!$A:$D,1,0)</f>
        <v>643</v>
      </c>
      <c r="U327" s="152" t="str">
        <f>+VLOOKUP($L327,Data_Validation!$A:$D,3,0)</f>
        <v>Véhicules usagés</v>
      </c>
      <c r="V327" s="152" t="str">
        <f>+VLOOKUP($L327,Data_Validation!$A:$D,4,0)</f>
        <v>Autres marques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1852</v>
      </c>
      <c r="B328" s="718" t="s">
        <v>1853</v>
      </c>
      <c r="C328" s="720">
        <v>110675.71</v>
      </c>
      <c r="D328" s="720">
        <v>639</v>
      </c>
      <c r="E328" s="720">
        <v>111314.71</v>
      </c>
      <c r="F328" s="718" t="s">
        <v>2015</v>
      </c>
      <c r="G328" s="718" t="s">
        <v>1072</v>
      </c>
      <c r="H328" s="673" t="s">
        <v>2971</v>
      </c>
      <c r="I328" s="672"/>
      <c r="J328" s="672"/>
      <c r="K328" s="672"/>
      <c r="L328" s="149" t="str">
        <f t="shared" si="25"/>
        <v>644A</v>
      </c>
      <c r="M328" s="150" t="str">
        <f t="shared" si="26"/>
        <v>C/V - GROS BMW AUTO</v>
      </c>
      <c r="N328" s="151">
        <f>+IF(OR($Q328=Parametres!$G$2,$Q328=Parametres!$G$3),I328,C328)</f>
        <v>110675.71</v>
      </c>
      <c r="O328" s="151">
        <f>+IF(OR($Q328=Parametres!$G$2,$Q328=Parametres!$G$3),J328,D328)</f>
        <v>639</v>
      </c>
      <c r="P328" s="151">
        <f>+IF(OR($Q328=Parametres!$G$2,$Q328=Parametres!$G$3),K328,E328)</f>
        <v>111314.71</v>
      </c>
      <c r="Q328" s="150" t="str">
        <f t="shared" si="27"/>
        <v>6-Coût des ventes</v>
      </c>
      <c r="R328" s="149" t="str">
        <f t="shared" si="28"/>
        <v>444A</v>
      </c>
      <c r="S328" s="150" t="str">
        <f t="shared" si="29"/>
        <v>_</v>
      </c>
      <c r="T328" s="152" t="str">
        <f>+VLOOKUP($L328,Data_Validation!$A:$D,1,0)</f>
        <v>644A</v>
      </c>
      <c r="U328" s="152" t="str">
        <f>+VLOOKUP($L328,Data_Validation!$A:$D,3,0)</f>
        <v>Véhicules usagés</v>
      </c>
      <c r="V328" s="152" t="str">
        <f>+VLOOKUP($L328,Data_Validation!$A:$D,4,0)</f>
        <v>Ventes au Gros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1854</v>
      </c>
      <c r="B329" s="718" t="s">
        <v>987</v>
      </c>
      <c r="C329" s="720">
        <v>265281.40999999997</v>
      </c>
      <c r="D329" s="720">
        <v>0</v>
      </c>
      <c r="E329" s="720">
        <v>265281.40999999997</v>
      </c>
      <c r="F329" s="718" t="s">
        <v>2015</v>
      </c>
      <c r="G329" s="718" t="s">
        <v>398</v>
      </c>
      <c r="H329" s="673" t="s">
        <v>2971</v>
      </c>
      <c r="I329" s="672"/>
      <c r="J329" s="672"/>
      <c r="K329" s="672"/>
      <c r="L329" s="149" t="str">
        <f t="shared" si="25"/>
        <v>644B</v>
      </c>
      <c r="M329" s="150" t="str">
        <f t="shared" si="26"/>
        <v>C/V - GROS BMW CAMION</v>
      </c>
      <c r="N329" s="151">
        <f>+IF(OR($Q329=Parametres!$G$2,$Q329=Parametres!$G$3),I329,C329)</f>
        <v>265281.40999999997</v>
      </c>
      <c r="O329" s="151">
        <f>+IF(OR($Q329=Parametres!$G$2,$Q329=Parametres!$G$3),J329,D329)</f>
        <v>0</v>
      </c>
      <c r="P329" s="151">
        <f>+IF(OR($Q329=Parametres!$G$2,$Q329=Parametres!$G$3),K329,E329)</f>
        <v>265281.40999999997</v>
      </c>
      <c r="Q329" s="150" t="str">
        <f t="shared" si="27"/>
        <v>6-Coût des ventes</v>
      </c>
      <c r="R329" s="149" t="str">
        <f t="shared" si="28"/>
        <v>444B</v>
      </c>
      <c r="S329" s="150" t="str">
        <f t="shared" si="29"/>
        <v>_</v>
      </c>
      <c r="T329" s="152" t="str">
        <f>+VLOOKUP($L329,Data_Validation!$A:$D,1,0)</f>
        <v>644B</v>
      </c>
      <c r="U329" s="152" t="str">
        <f>+VLOOKUP($L329,Data_Validation!$A:$D,3,0)</f>
        <v>Véhicules usagés</v>
      </c>
      <c r="V329" s="152" t="str">
        <f>+VLOOKUP($L329,Data_Validation!$A:$D,4,0)</f>
        <v>Ventes au Gros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1847</v>
      </c>
      <c r="B330" s="718" t="s">
        <v>985</v>
      </c>
      <c r="C330" s="719">
        <v>921327.06</v>
      </c>
      <c r="D330" s="719">
        <v>434903.03999999998</v>
      </c>
      <c r="E330" s="719">
        <v>1356230.1</v>
      </c>
      <c r="F330" s="718" t="s">
        <v>2015</v>
      </c>
      <c r="G330" s="718" t="s">
        <v>401</v>
      </c>
      <c r="H330" s="719" t="s">
        <v>2971</v>
      </c>
      <c r="I330" s="720"/>
      <c r="J330" s="720"/>
      <c r="K330" s="720"/>
      <c r="L330" s="149" t="str">
        <f t="shared" si="25"/>
        <v>644C</v>
      </c>
      <c r="M330" s="150" t="str">
        <f t="shared" si="26"/>
        <v>C/V - GROS AUTRES</v>
      </c>
      <c r="N330" s="151">
        <f>+IF(OR($Q330=Parametres!$G$2,$Q330=Parametres!$G$3),I330,C330)</f>
        <v>921327.06</v>
      </c>
      <c r="O330" s="151">
        <f>+IF(OR($Q330=Parametres!$G$2,$Q330=Parametres!$G$3),J330,D330)</f>
        <v>434903.03999999998</v>
      </c>
      <c r="P330" s="151">
        <f>+IF(OR($Q330=Parametres!$G$2,$Q330=Parametres!$G$3),K330,E330)</f>
        <v>1356230.1</v>
      </c>
      <c r="Q330" s="150" t="str">
        <f t="shared" si="27"/>
        <v>6-Coût des ventes</v>
      </c>
      <c r="R330" s="149" t="str">
        <f t="shared" si="28"/>
        <v>444C</v>
      </c>
      <c r="S330" s="150" t="str">
        <f t="shared" si="29"/>
        <v>_</v>
      </c>
      <c r="T330" s="152" t="str">
        <f>+VLOOKUP($L330,Data_Validation!$A:$D,1,0)</f>
        <v>644C</v>
      </c>
      <c r="U330" s="152" t="str">
        <f>+VLOOKUP($L330,Data_Validation!$A:$D,3,0)</f>
        <v>Véhicules usagés</v>
      </c>
      <c r="V330" s="152" t="str">
        <f>+VLOOKUP($L330,Data_Validation!$A:$D,4,0)</f>
        <v>Ventes au Gros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1838</v>
      </c>
      <c r="B331" s="718" t="s">
        <v>974</v>
      </c>
      <c r="C331" s="720">
        <v>301154.84000000003</v>
      </c>
      <c r="D331" s="720">
        <v>117819.95</v>
      </c>
      <c r="E331" s="720">
        <v>418974.79</v>
      </c>
      <c r="F331" s="718" t="s">
        <v>2015</v>
      </c>
      <c r="G331" s="718" t="s">
        <v>418</v>
      </c>
      <c r="H331" s="673" t="s">
        <v>2971</v>
      </c>
      <c r="I331" s="672"/>
      <c r="J331" s="672"/>
      <c r="K331" s="672"/>
      <c r="L331" s="149" t="str">
        <f t="shared" si="25"/>
        <v>646A</v>
      </c>
      <c r="M331" s="150" t="str">
        <f t="shared" si="26"/>
        <v>C/V - USAGE BMW CAMION CERT</v>
      </c>
      <c r="N331" s="151">
        <f>+IF(OR($Q331=Parametres!$G$2,$Q331=Parametres!$G$3),I331,C331)</f>
        <v>301154.84000000003</v>
      </c>
      <c r="O331" s="151">
        <f>+IF(OR($Q331=Parametres!$G$2,$Q331=Parametres!$G$3),J331,D331)</f>
        <v>117819.95</v>
      </c>
      <c r="P331" s="151">
        <f>+IF(OR($Q331=Parametres!$G$2,$Q331=Parametres!$G$3),K331,E331)</f>
        <v>418974.79</v>
      </c>
      <c r="Q331" s="150" t="str">
        <f t="shared" si="27"/>
        <v>6-Coût des ventes</v>
      </c>
      <c r="R331" s="149" t="str">
        <f t="shared" si="28"/>
        <v>446A</v>
      </c>
      <c r="S331" s="150" t="str">
        <f t="shared" si="29"/>
        <v>_</v>
      </c>
      <c r="T331" s="152" t="str">
        <f>+VLOOKUP($L331,Data_Validation!$A:$D,1,0)</f>
        <v>646A</v>
      </c>
      <c r="U331" s="152" t="str">
        <f>+VLOOKUP($L331,Data_Validation!$A:$D,3,0)</f>
        <v>Véhicules usagés</v>
      </c>
      <c r="V331" s="152" t="str">
        <f>+VLOOKUP($L331,Data_Validation!$A:$D,4,0)</f>
        <v>Certifié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1836</v>
      </c>
      <c r="B332" s="671" t="s">
        <v>982</v>
      </c>
      <c r="C332" s="672">
        <v>195014.62</v>
      </c>
      <c r="D332" s="672">
        <v>73522.03</v>
      </c>
      <c r="E332" s="672">
        <v>268536.65000000002</v>
      </c>
      <c r="F332" s="671" t="s">
        <v>2015</v>
      </c>
      <c r="G332" s="671" t="s">
        <v>404</v>
      </c>
      <c r="H332" s="666" t="s">
        <v>2971</v>
      </c>
      <c r="I332" s="665"/>
      <c r="J332" s="665"/>
      <c r="K332" s="665"/>
      <c r="L332" s="149" t="str">
        <f t="shared" si="25"/>
        <v>646B</v>
      </c>
      <c r="M332" s="150" t="str">
        <f t="shared" si="26"/>
        <v>C/V - USAGE BMW CAMION NON-CERT</v>
      </c>
      <c r="N332" s="151">
        <f>+IF(OR($Q332=Parametres!$G$2,$Q332=Parametres!$G$3),I332,C332)</f>
        <v>195014.62</v>
      </c>
      <c r="O332" s="151">
        <f>+IF(OR($Q332=Parametres!$G$2,$Q332=Parametres!$G$3),J332,D332)</f>
        <v>73522.03</v>
      </c>
      <c r="P332" s="151">
        <f>+IF(OR($Q332=Parametres!$G$2,$Q332=Parametres!$G$3),K332,E332)</f>
        <v>268536.65000000002</v>
      </c>
      <c r="Q332" s="150" t="str">
        <f t="shared" si="27"/>
        <v>6-Coût des ventes</v>
      </c>
      <c r="R332" s="149" t="str">
        <f t="shared" si="28"/>
        <v>446B</v>
      </c>
      <c r="S332" s="150" t="str">
        <f t="shared" si="29"/>
        <v>_</v>
      </c>
      <c r="T332" s="152" t="str">
        <f>+VLOOKUP($L332,Data_Validation!$A:$D,1,0)</f>
        <v>646B</v>
      </c>
      <c r="U332" s="152" t="str">
        <f>+VLOOKUP($L332,Data_Validation!$A:$D,3,0)</f>
        <v>Véhicules usagés</v>
      </c>
      <c r="V332" s="152" t="str">
        <f>+VLOOKUP($L332,Data_Validation!$A:$D,4,0)</f>
        <v>Non Certifié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1437</v>
      </c>
      <c r="B333" s="718" t="s">
        <v>986</v>
      </c>
      <c r="C333" s="720">
        <v>271339.07</v>
      </c>
      <c r="D333" s="720">
        <v>130831.85</v>
      </c>
      <c r="E333" s="720">
        <v>402170.92</v>
      </c>
      <c r="F333" s="718" t="s">
        <v>2015</v>
      </c>
      <c r="G333" s="718" t="s">
        <v>400</v>
      </c>
      <c r="H333" s="673" t="s">
        <v>2971</v>
      </c>
      <c r="I333" s="672"/>
      <c r="J333" s="672"/>
      <c r="K333" s="672"/>
      <c r="L333" s="149" t="str">
        <f t="shared" si="25"/>
        <v>648</v>
      </c>
      <c r="M333" s="150" t="str">
        <f t="shared" si="26"/>
        <v>C/V - RACHAT LOCATION BMW</v>
      </c>
      <c r="N333" s="151">
        <f>+IF(OR($Q333=Parametres!$G$2,$Q333=Parametres!$G$3),I333,C333)</f>
        <v>271339.07</v>
      </c>
      <c r="O333" s="151">
        <f>+IF(OR($Q333=Parametres!$G$2,$Q333=Parametres!$G$3),J333,D333)</f>
        <v>130831.85</v>
      </c>
      <c r="P333" s="151">
        <f>+IF(OR($Q333=Parametres!$G$2,$Q333=Parametres!$G$3),K333,E333)</f>
        <v>402170.92</v>
      </c>
      <c r="Q333" s="150" t="str">
        <f t="shared" si="27"/>
        <v>6-Coût des ventes</v>
      </c>
      <c r="R333" s="149" t="str">
        <f t="shared" si="28"/>
        <v>448</v>
      </c>
      <c r="S333" s="150" t="str">
        <f t="shared" si="29"/>
        <v>_</v>
      </c>
      <c r="T333" s="152" t="str">
        <f>+VLOOKUP($L333,Data_Validation!$A:$D,1,0)</f>
        <v>648</v>
      </c>
      <c r="U333" s="152" t="str">
        <f>+VLOOKUP($L333,Data_Validation!$A:$D,3,0)</f>
        <v>Véhicules neufs</v>
      </c>
      <c r="V333" s="152" t="str">
        <f>+VLOOKUP($L333,Data_Validation!$A:$D,4,0)</f>
        <v>Rachat bail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1672</v>
      </c>
      <c r="B334" s="671" t="s">
        <v>911</v>
      </c>
      <c r="C334" s="672">
        <v>9972.81</v>
      </c>
      <c r="D334" s="672">
        <v>6667.95</v>
      </c>
      <c r="E334" s="672">
        <v>16640.759999999998</v>
      </c>
      <c r="F334" s="671" t="s">
        <v>2015</v>
      </c>
      <c r="G334" s="671" t="s">
        <v>418</v>
      </c>
      <c r="H334" s="666" t="s">
        <v>2971</v>
      </c>
      <c r="I334" s="665"/>
      <c r="J334" s="665"/>
      <c r="K334" s="665"/>
      <c r="L334" s="149" t="str">
        <f t="shared" si="25"/>
        <v>648A</v>
      </c>
      <c r="M334" s="150" t="str">
        <f t="shared" si="26"/>
        <v>C/V - RECOND. BMW CAMION CERT</v>
      </c>
      <c r="N334" s="151">
        <f>+IF(OR($Q334=Parametres!$G$2,$Q334=Parametres!$G$3),I334,C334)</f>
        <v>9972.81</v>
      </c>
      <c r="O334" s="151">
        <f>+IF(OR($Q334=Parametres!$G$2,$Q334=Parametres!$G$3),J334,D334)</f>
        <v>6667.95</v>
      </c>
      <c r="P334" s="151">
        <f>+IF(OR($Q334=Parametres!$G$2,$Q334=Parametres!$G$3),K334,E334)</f>
        <v>16640.759999999998</v>
      </c>
      <c r="Q334" s="150" t="str">
        <f t="shared" si="27"/>
        <v>6-Coût des ventes</v>
      </c>
      <c r="R334" s="149" t="str">
        <f t="shared" si="28"/>
        <v>446A</v>
      </c>
      <c r="S334" s="150" t="str">
        <f t="shared" si="29"/>
        <v>_</v>
      </c>
      <c r="T334" s="152" t="str">
        <f>+VLOOKUP($L334,Data_Validation!$A:$D,1,0)</f>
        <v>648A</v>
      </c>
      <c r="U334" s="152" t="str">
        <f>+VLOOKUP($L334,Data_Validation!$A:$D,3,0)</f>
        <v>Véhicules usagés</v>
      </c>
      <c r="V334" s="152" t="str">
        <f>+VLOOKUP($L334,Data_Validation!$A:$D,4,0)</f>
        <v>Certifié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1733</v>
      </c>
      <c r="B335" s="671" t="s">
        <v>917</v>
      </c>
      <c r="C335" s="672">
        <v>15483.44</v>
      </c>
      <c r="D335" s="672">
        <v>3472.1</v>
      </c>
      <c r="E335" s="672">
        <v>18955.54</v>
      </c>
      <c r="F335" s="671" t="s">
        <v>2015</v>
      </c>
      <c r="G335" s="671" t="s">
        <v>404</v>
      </c>
      <c r="H335" s="666" t="s">
        <v>2971</v>
      </c>
      <c r="I335" s="665"/>
      <c r="J335" s="665"/>
      <c r="K335" s="665"/>
      <c r="L335" s="149" t="str">
        <f t="shared" si="25"/>
        <v>648B</v>
      </c>
      <c r="M335" s="150" t="str">
        <f t="shared" si="26"/>
        <v>C/V - RECOND. BMW CAMION NON-CERT</v>
      </c>
      <c r="N335" s="151">
        <f>+IF(OR($Q335=Parametres!$G$2,$Q335=Parametres!$G$3),I335,C335)</f>
        <v>15483.44</v>
      </c>
      <c r="O335" s="151">
        <f>+IF(OR($Q335=Parametres!$G$2,$Q335=Parametres!$G$3),J335,D335)</f>
        <v>3472.1</v>
      </c>
      <c r="P335" s="151">
        <f>+IF(OR($Q335=Parametres!$G$2,$Q335=Parametres!$G$3),K335,E335)</f>
        <v>18955.54</v>
      </c>
      <c r="Q335" s="150" t="str">
        <f t="shared" si="27"/>
        <v>6-Coût des ventes</v>
      </c>
      <c r="R335" s="149" t="str">
        <f t="shared" si="28"/>
        <v>446B</v>
      </c>
      <c r="S335" s="150" t="str">
        <f t="shared" si="29"/>
        <v>_</v>
      </c>
      <c r="T335" s="152" t="str">
        <f>+VLOOKUP($L335,Data_Validation!$A:$D,1,0)</f>
        <v>648B</v>
      </c>
      <c r="U335" s="152" t="str">
        <f>+VLOOKUP($L335,Data_Validation!$A:$D,3,0)</f>
        <v>Véhicules usagés</v>
      </c>
      <c r="V335" s="152" t="str">
        <f>+VLOOKUP($L335,Data_Validation!$A:$D,4,0)</f>
        <v>Non Certifié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1646</v>
      </c>
      <c r="B336" s="718" t="s">
        <v>1647</v>
      </c>
      <c r="C336" s="720">
        <v>770</v>
      </c>
      <c r="D336" s="720">
        <v>350</v>
      </c>
      <c r="E336" s="720">
        <v>1120</v>
      </c>
      <c r="F336" s="718" t="s">
        <v>2015</v>
      </c>
      <c r="G336" s="718" t="s">
        <v>1012</v>
      </c>
      <c r="H336" s="666" t="s">
        <v>2971</v>
      </c>
      <c r="I336" s="665"/>
      <c r="J336" s="665"/>
      <c r="K336" s="665"/>
      <c r="L336" s="149" t="str">
        <f t="shared" si="25"/>
        <v>650</v>
      </c>
      <c r="M336" s="150" t="str">
        <f t="shared" si="26"/>
        <v>C/V - MARQUAGE OTOPROTEC USAGE BMW CERT</v>
      </c>
      <c r="N336" s="151">
        <f>+IF(OR($Q336=Parametres!$G$2,$Q336=Parametres!$G$3),I336,C336)</f>
        <v>770</v>
      </c>
      <c r="O336" s="151">
        <f>+IF(OR($Q336=Parametres!$G$2,$Q336=Parametres!$G$3),J336,D336)</f>
        <v>350</v>
      </c>
      <c r="P336" s="151">
        <f>+IF(OR($Q336=Parametres!$G$2,$Q336=Parametres!$G$3),K336,E336)</f>
        <v>1120</v>
      </c>
      <c r="Q336" s="150" t="str">
        <f t="shared" si="27"/>
        <v>6-Coût des ventes</v>
      </c>
      <c r="R336" s="149" t="str">
        <f t="shared" si="28"/>
        <v>450</v>
      </c>
      <c r="S336" s="150" t="str">
        <f t="shared" si="29"/>
        <v>_</v>
      </c>
      <c r="T336" s="152" t="str">
        <f>+VLOOKUP($L336,Data_Validation!$A:$D,1,0)</f>
        <v>650</v>
      </c>
      <c r="U336" s="152" t="str">
        <f>+VLOOKUP($L336,Data_Validation!$A:$D,3,0)</f>
        <v>Véhicules usagés</v>
      </c>
      <c r="V336" s="152" t="str">
        <f>+VLOOKUP($L336,Data_Validation!$A:$D,4,0)</f>
        <v>Rev. Autres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1687</v>
      </c>
      <c r="B337" s="671" t="s">
        <v>1032</v>
      </c>
      <c r="C337" s="672">
        <v>739.45</v>
      </c>
      <c r="D337" s="672">
        <v>0</v>
      </c>
      <c r="E337" s="672">
        <v>739.45</v>
      </c>
      <c r="F337" s="671" t="s">
        <v>2015</v>
      </c>
      <c r="G337" s="671" t="s">
        <v>1012</v>
      </c>
      <c r="H337" s="666" t="s">
        <v>2971</v>
      </c>
      <c r="I337" s="665"/>
      <c r="J337" s="665"/>
      <c r="K337" s="665"/>
      <c r="L337" s="149" t="str">
        <f t="shared" si="25"/>
        <v>650E</v>
      </c>
      <c r="M337" s="150" t="str">
        <f t="shared" si="26"/>
        <v>C/V - PROTEC ESTHETIQUE USAGE BMW CERT</v>
      </c>
      <c r="N337" s="151">
        <f>+IF(OR($Q337=Parametres!$G$2,$Q337=Parametres!$G$3),I337,C337)</f>
        <v>739.45</v>
      </c>
      <c r="O337" s="151">
        <f>+IF(OR($Q337=Parametres!$G$2,$Q337=Parametres!$G$3),J337,D337)</f>
        <v>0</v>
      </c>
      <c r="P337" s="151">
        <f>+IF(OR($Q337=Parametres!$G$2,$Q337=Parametres!$G$3),K337,E337)</f>
        <v>739.45</v>
      </c>
      <c r="Q337" s="150" t="str">
        <f t="shared" si="27"/>
        <v>6-Coût des ventes</v>
      </c>
      <c r="R337" s="149" t="str">
        <f t="shared" si="28"/>
        <v>450</v>
      </c>
      <c r="S337" s="150" t="str">
        <f t="shared" si="29"/>
        <v>_</v>
      </c>
      <c r="T337" s="152" t="str">
        <f>+VLOOKUP($L337,Data_Validation!$A:$D,1,0)</f>
        <v>650E</v>
      </c>
      <c r="U337" s="152" t="str">
        <f>+VLOOKUP($L337,Data_Validation!$A:$D,3,0)</f>
        <v>Véhicules usagés</v>
      </c>
      <c r="V337" s="152" t="str">
        <f>+VLOOKUP($L337,Data_Validation!$A:$D,4,0)</f>
        <v>Rev. Protections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1446</v>
      </c>
      <c r="B338" s="718" t="s">
        <v>1447</v>
      </c>
      <c r="C338" s="720">
        <v>700</v>
      </c>
      <c r="D338" s="720">
        <v>350</v>
      </c>
      <c r="E338" s="720">
        <v>1050</v>
      </c>
      <c r="F338" s="718" t="s">
        <v>2015</v>
      </c>
      <c r="G338" s="718" t="s">
        <v>374</v>
      </c>
      <c r="H338" s="673" t="s">
        <v>2971</v>
      </c>
      <c r="I338" s="672"/>
      <c r="J338" s="672"/>
      <c r="K338" s="672"/>
      <c r="L338" s="149" t="str">
        <f t="shared" si="25"/>
        <v>651</v>
      </c>
      <c r="M338" s="150" t="str">
        <f t="shared" si="26"/>
        <v>C/V - MARQUAGE OTOPROTEC USAGE AUTRE</v>
      </c>
      <c r="N338" s="151">
        <f>+IF(OR($Q338=Parametres!$G$2,$Q338=Parametres!$G$3),I338,C338)</f>
        <v>700</v>
      </c>
      <c r="O338" s="151">
        <f>+IF(OR($Q338=Parametres!$G$2,$Q338=Parametres!$G$3),J338,D338)</f>
        <v>350</v>
      </c>
      <c r="P338" s="151">
        <f>+IF(OR($Q338=Parametres!$G$2,$Q338=Parametres!$G$3),K338,E338)</f>
        <v>1050</v>
      </c>
      <c r="Q338" s="150" t="str">
        <f t="shared" si="27"/>
        <v>6-Coût des ventes</v>
      </c>
      <c r="R338" s="149" t="str">
        <f t="shared" si="28"/>
        <v>451</v>
      </c>
      <c r="S338" s="150" t="str">
        <f t="shared" si="29"/>
        <v>_</v>
      </c>
      <c r="T338" s="152" t="str">
        <f>+VLOOKUP($L338,Data_Validation!$A:$D,1,0)</f>
        <v>651</v>
      </c>
      <c r="U338" s="152" t="str">
        <f>+VLOOKUP($L338,Data_Validation!$A:$D,3,0)</f>
        <v>Véhicules usagés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2919</v>
      </c>
      <c r="B339" s="718" t="s">
        <v>2920</v>
      </c>
      <c r="C339" s="720">
        <v>0</v>
      </c>
      <c r="D339" s="720">
        <v>1765.71</v>
      </c>
      <c r="E339" s="720">
        <v>1765.71</v>
      </c>
      <c r="F339" s="718" t="s">
        <v>2015</v>
      </c>
      <c r="G339" s="718" t="s">
        <v>374</v>
      </c>
      <c r="H339" s="673" t="s">
        <v>2971</v>
      </c>
      <c r="I339" s="672"/>
      <c r="J339" s="672"/>
      <c r="K339" s="672"/>
      <c r="L339" s="149" t="str">
        <f t="shared" si="25"/>
        <v>651R</v>
      </c>
      <c r="M339" s="150" t="str">
        <f t="shared" si="26"/>
        <v>C/V - ASS. REMP. USAGE AUTRE</v>
      </c>
      <c r="N339" s="151">
        <f>+IF(OR($Q339=Parametres!$G$2,$Q339=Parametres!$G$3),I339,C339)</f>
        <v>0</v>
      </c>
      <c r="O339" s="151">
        <f>+IF(OR($Q339=Parametres!$G$2,$Q339=Parametres!$G$3),J339,D339)</f>
        <v>1765.71</v>
      </c>
      <c r="P339" s="151">
        <f>+IF(OR($Q339=Parametres!$G$2,$Q339=Parametres!$G$3),K339,E339)</f>
        <v>1765.71</v>
      </c>
      <c r="Q339" s="150" t="str">
        <f t="shared" si="27"/>
        <v>6-Coût des ventes</v>
      </c>
      <c r="R339" s="149" t="str">
        <f t="shared" si="28"/>
        <v>451</v>
      </c>
      <c r="S339" s="150" t="str">
        <f t="shared" si="29"/>
        <v>_</v>
      </c>
      <c r="T339" s="152" t="str">
        <f>+VLOOKUP($L339,Data_Validation!$A:$D,1,0)</f>
        <v>651R</v>
      </c>
      <c r="U339" s="152" t="str">
        <f>+VLOOKUP($L339,Data_Validation!$A:$D,3,0)</f>
        <v>Véhicules usagés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2207</v>
      </c>
      <c r="B340" s="671" t="s">
        <v>2208</v>
      </c>
      <c r="C340" s="672">
        <v>0</v>
      </c>
      <c r="D340" s="672">
        <v>4949.8599999999997</v>
      </c>
      <c r="E340" s="672">
        <v>4949.8599999999997</v>
      </c>
      <c r="F340" s="671" t="s">
        <v>2015</v>
      </c>
      <c r="G340" s="671" t="s">
        <v>374</v>
      </c>
      <c r="H340" s="666" t="s">
        <v>2971</v>
      </c>
      <c r="I340" s="665"/>
      <c r="J340" s="665"/>
      <c r="K340" s="665"/>
      <c r="L340" s="149" t="str">
        <f t="shared" si="25"/>
        <v>651V</v>
      </c>
      <c r="M340" s="150" t="str">
        <f t="shared" si="26"/>
        <v>C/V - ASS VIE/INV USAGE AUTRE</v>
      </c>
      <c r="N340" s="151">
        <f>+IF(OR($Q340=Parametres!$G$2,$Q340=Parametres!$G$3),I340,C340)</f>
        <v>0</v>
      </c>
      <c r="O340" s="151">
        <f>+IF(OR($Q340=Parametres!$G$2,$Q340=Parametres!$G$3),J340,D340)</f>
        <v>4949.8599999999997</v>
      </c>
      <c r="P340" s="151">
        <f>+IF(OR($Q340=Parametres!$G$2,$Q340=Parametres!$G$3),K340,E340)</f>
        <v>4949.8599999999997</v>
      </c>
      <c r="Q340" s="150" t="str">
        <f t="shared" si="27"/>
        <v>6-Coût des ventes</v>
      </c>
      <c r="R340" s="149" t="str">
        <f t="shared" si="28"/>
        <v>451</v>
      </c>
      <c r="S340" s="150" t="str">
        <f t="shared" si="29"/>
        <v>_</v>
      </c>
      <c r="T340" s="152" t="str">
        <f>+VLOOKUP($L340,Data_Validation!$A:$D,1,0)</f>
        <v>651V</v>
      </c>
      <c r="U340" s="152" t="str">
        <f>+VLOOKUP($L340,Data_Validation!$A:$D,3,0)</f>
        <v>Véhicules usagés</v>
      </c>
      <c r="V340" s="152" t="str">
        <f>+VLOOKUP($L340,Data_Validation!$A:$D,4,0)</f>
        <v>Rev. Protections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1815</v>
      </c>
      <c r="B341" s="671" t="s">
        <v>964</v>
      </c>
      <c r="C341" s="672">
        <v>24702</v>
      </c>
      <c r="D341" s="672">
        <v>10609</v>
      </c>
      <c r="E341" s="672">
        <v>35311</v>
      </c>
      <c r="F341" s="671" t="s">
        <v>2015</v>
      </c>
      <c r="G341" s="671" t="s">
        <v>368</v>
      </c>
      <c r="H341" s="666" t="s">
        <v>2971</v>
      </c>
      <c r="I341" s="665"/>
      <c r="J341" s="665"/>
      <c r="K341" s="665"/>
      <c r="L341" s="149" t="str">
        <f t="shared" si="25"/>
        <v>652</v>
      </c>
      <c r="M341" s="150" t="str">
        <f t="shared" si="26"/>
        <v>C/V - GAR PROL USAGE BMW CERT</v>
      </c>
      <c r="N341" s="151">
        <f>+IF(OR($Q341=Parametres!$G$2,$Q341=Parametres!$G$3),I341,C341)</f>
        <v>24702</v>
      </c>
      <c r="O341" s="151">
        <f>+IF(OR($Q341=Parametres!$G$2,$Q341=Parametres!$G$3),J341,D341)</f>
        <v>10609</v>
      </c>
      <c r="P341" s="151">
        <f>+IF(OR($Q341=Parametres!$G$2,$Q341=Parametres!$G$3),K341,E341)</f>
        <v>35311</v>
      </c>
      <c r="Q341" s="150" t="str">
        <f t="shared" si="27"/>
        <v>6-Coût des ventes</v>
      </c>
      <c r="R341" s="149" t="str">
        <f t="shared" si="28"/>
        <v>452</v>
      </c>
      <c r="S341" s="150" t="str">
        <f t="shared" si="29"/>
        <v>_</v>
      </c>
      <c r="T341" s="152" t="str">
        <f>+VLOOKUP($L341,Data_Validation!$A:$D,1,0)</f>
        <v>652</v>
      </c>
      <c r="U341" s="152" t="str">
        <f>+VLOOKUP($L341,Data_Validation!$A:$D,3,0)</f>
        <v>Véhicules usagés</v>
      </c>
      <c r="V341" s="152" t="str">
        <f>+VLOOKUP($L341,Data_Validation!$A:$D,4,0)</f>
        <v>Rev. Protections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1989</v>
      </c>
      <c r="B342" s="718" t="s">
        <v>1990</v>
      </c>
      <c r="C342" s="720">
        <v>4956</v>
      </c>
      <c r="D342" s="720">
        <v>10476</v>
      </c>
      <c r="E342" s="720">
        <v>15432</v>
      </c>
      <c r="F342" s="718" t="s">
        <v>2015</v>
      </c>
      <c r="G342" s="718" t="s">
        <v>368</v>
      </c>
      <c r="H342" s="673" t="s">
        <v>2971</v>
      </c>
      <c r="I342" s="673"/>
      <c r="J342" s="673"/>
      <c r="K342" s="673"/>
      <c r="L342" s="149" t="str">
        <f t="shared" si="25"/>
        <v>652C</v>
      </c>
      <c r="M342" s="150" t="str">
        <f t="shared" si="26"/>
        <v>C/V - GAR PROL USAGE BMW NON-CERT</v>
      </c>
      <c r="N342" s="151">
        <f>+IF(OR($Q342=Parametres!$G$2,$Q342=Parametres!$G$3),I342,C342)</f>
        <v>4956</v>
      </c>
      <c r="O342" s="151">
        <f>+IF(OR($Q342=Parametres!$G$2,$Q342=Parametres!$G$3),J342,D342)</f>
        <v>10476</v>
      </c>
      <c r="P342" s="151">
        <f>+IF(OR($Q342=Parametres!$G$2,$Q342=Parametres!$G$3),K342,E342)</f>
        <v>15432</v>
      </c>
      <c r="Q342" s="150" t="str">
        <f t="shared" si="27"/>
        <v>6-Coût des ventes</v>
      </c>
      <c r="R342" s="149" t="str">
        <f t="shared" si="28"/>
        <v>452</v>
      </c>
      <c r="S342" s="150" t="str">
        <f t="shared" si="29"/>
        <v>_</v>
      </c>
      <c r="T342" s="152" t="str">
        <f>+VLOOKUP($L342,Data_Validation!$A:$D,1,0)</f>
        <v>652C</v>
      </c>
      <c r="U342" s="152" t="str">
        <f>+VLOOKUP($L342,Data_Validation!$A:$D,3,0)</f>
        <v>Véhicules usagés</v>
      </c>
      <c r="V342" s="152" t="str">
        <f>+VLOOKUP($L342,Data_Validation!$A:$D,4,0)</f>
        <v>Rev. Protections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2371</v>
      </c>
      <c r="B343" s="718" t="s">
        <v>2372</v>
      </c>
      <c r="C343" s="720">
        <v>2055</v>
      </c>
      <c r="D343" s="720">
        <v>1827</v>
      </c>
      <c r="E343" s="720">
        <v>3882</v>
      </c>
      <c r="F343" s="718" t="s">
        <v>2015</v>
      </c>
      <c r="G343" s="718" t="s">
        <v>2361</v>
      </c>
      <c r="H343" s="673" t="s">
        <v>2971</v>
      </c>
      <c r="I343" s="672"/>
      <c r="J343" s="672"/>
      <c r="K343" s="672"/>
      <c r="L343" s="149" t="str">
        <f t="shared" si="25"/>
        <v>654</v>
      </c>
      <c r="M343" s="150" t="str">
        <f t="shared" si="26"/>
        <v>C/V - CONT ENTRET USAGE BMW CERT</v>
      </c>
      <c r="N343" s="151">
        <f>+IF(OR($Q343=Parametres!$G$2,$Q343=Parametres!$G$3),I343,C343)</f>
        <v>2055</v>
      </c>
      <c r="O343" s="151">
        <f>+IF(OR($Q343=Parametres!$G$2,$Q343=Parametres!$G$3),J343,D343)</f>
        <v>1827</v>
      </c>
      <c r="P343" s="151">
        <f>+IF(OR($Q343=Parametres!$G$2,$Q343=Parametres!$G$3),K343,E343)</f>
        <v>3882</v>
      </c>
      <c r="Q343" s="150" t="str">
        <f t="shared" si="27"/>
        <v>6-Coût des ventes</v>
      </c>
      <c r="R343" s="149" t="str">
        <f t="shared" si="28"/>
        <v>454</v>
      </c>
      <c r="S343" s="150" t="str">
        <f t="shared" si="29"/>
        <v>_</v>
      </c>
      <c r="T343" s="152" t="str">
        <f>+VLOOKUP($L343,Data_Validation!$A:$D,1,0)</f>
        <v>654</v>
      </c>
      <c r="U343" s="152" t="str">
        <f>+VLOOKUP($L343,Data_Validation!$A:$D,3,0)</f>
        <v>Véhicules usagés</v>
      </c>
      <c r="V343" s="152" t="str">
        <f>+VLOOKUP($L343,Data_Validation!$A:$D,4,0)</f>
        <v>Rev. Protections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2150</v>
      </c>
      <c r="B344" s="718" t="s">
        <v>2151</v>
      </c>
      <c r="C344" s="720">
        <v>11460</v>
      </c>
      <c r="D344" s="720">
        <v>2313</v>
      </c>
      <c r="E344" s="720">
        <v>13773</v>
      </c>
      <c r="F344" s="718" t="s">
        <v>2015</v>
      </c>
      <c r="G344" s="718" t="s">
        <v>1012</v>
      </c>
      <c r="H344" s="666" t="s">
        <v>2971</v>
      </c>
      <c r="I344" s="665"/>
      <c r="J344" s="665"/>
      <c r="K344" s="665"/>
      <c r="L344" s="149" t="str">
        <f t="shared" si="25"/>
        <v>654A</v>
      </c>
      <c r="M344" s="150" t="str">
        <f t="shared" si="26"/>
        <v>C/V - CONT ENTRET USAGE BMW NON-CERT</v>
      </c>
      <c r="N344" s="151">
        <f>+IF(OR($Q344=Parametres!$G$2,$Q344=Parametres!$G$3),I344,C344)</f>
        <v>11460</v>
      </c>
      <c r="O344" s="151">
        <f>+IF(OR($Q344=Parametres!$G$2,$Q344=Parametres!$G$3),J344,D344)</f>
        <v>2313</v>
      </c>
      <c r="P344" s="151">
        <f>+IF(OR($Q344=Parametres!$G$2,$Q344=Parametres!$G$3),K344,E344)</f>
        <v>13773</v>
      </c>
      <c r="Q344" s="150" t="str">
        <f t="shared" si="27"/>
        <v>6-Coût des ventes</v>
      </c>
      <c r="R344" s="149" t="str">
        <f t="shared" si="28"/>
        <v>450</v>
      </c>
      <c r="S344" s="150" t="str">
        <f t="shared" si="29"/>
        <v>_</v>
      </c>
      <c r="T344" s="152" t="str">
        <f>+VLOOKUP($L344,Data_Validation!$A:$D,1,0)</f>
        <v>654A</v>
      </c>
      <c r="U344" s="152" t="str">
        <f>+VLOOKUP($L344,Data_Validation!$A:$D,3,0)</f>
        <v>Véhicules usagés</v>
      </c>
      <c r="V344" s="152" t="str">
        <f>+VLOOKUP($L344,Data_Validation!$A:$D,4,0)</f>
        <v>Rev. Protections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2133</v>
      </c>
      <c r="B345" s="671" t="s">
        <v>2134</v>
      </c>
      <c r="C345" s="672">
        <v>0</v>
      </c>
      <c r="D345" s="672">
        <v>225</v>
      </c>
      <c r="E345" s="672">
        <v>225</v>
      </c>
      <c r="F345" s="671" t="s">
        <v>2015</v>
      </c>
      <c r="G345" s="671" t="s">
        <v>1012</v>
      </c>
      <c r="H345" s="666" t="s">
        <v>2971</v>
      </c>
      <c r="I345" s="665"/>
      <c r="J345" s="665"/>
      <c r="K345" s="665"/>
      <c r="L345" s="149" t="str">
        <f t="shared" si="25"/>
        <v>654C</v>
      </c>
      <c r="M345" s="150" t="str">
        <f t="shared" si="26"/>
        <v>C/V - ACCESSOIRES USAGE BMW NON-CERT</v>
      </c>
      <c r="N345" s="151">
        <f>+IF(OR($Q345=Parametres!$G$2,$Q345=Parametres!$G$3),I345,C345)</f>
        <v>0</v>
      </c>
      <c r="O345" s="151">
        <f>+IF(OR($Q345=Parametres!$G$2,$Q345=Parametres!$G$3),J345,D345)</f>
        <v>225</v>
      </c>
      <c r="P345" s="151">
        <f>+IF(OR($Q345=Parametres!$G$2,$Q345=Parametres!$G$3),K345,E345)</f>
        <v>225</v>
      </c>
      <c r="Q345" s="150" t="str">
        <f t="shared" si="27"/>
        <v>6-Coût des ventes</v>
      </c>
      <c r="R345" s="149" t="str">
        <f t="shared" si="28"/>
        <v>450</v>
      </c>
      <c r="S345" s="150" t="str">
        <f t="shared" si="29"/>
        <v>_</v>
      </c>
      <c r="T345" s="152" t="str">
        <f>+VLOOKUP($L345,Data_Validation!$A:$D,1,0)</f>
        <v>654C</v>
      </c>
      <c r="U345" s="152" t="str">
        <f>+VLOOKUP($L345,Data_Validation!$A:$D,3,0)</f>
        <v>Véhicules usagés</v>
      </c>
      <c r="V345" s="152" t="str">
        <f>+VLOOKUP($L345,Data_Validation!$A:$D,4,0)</f>
        <v>Rev. Autres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2071</v>
      </c>
      <c r="B346" s="718" t="s">
        <v>2072</v>
      </c>
      <c r="C346" s="720">
        <v>0</v>
      </c>
      <c r="D346" s="720">
        <v>605</v>
      </c>
      <c r="E346" s="720">
        <v>605</v>
      </c>
      <c r="F346" s="718" t="s">
        <v>2015</v>
      </c>
      <c r="G346" s="718" t="s">
        <v>1012</v>
      </c>
      <c r="H346" s="673" t="s">
        <v>2971</v>
      </c>
      <c r="I346" s="672"/>
      <c r="J346" s="672"/>
      <c r="K346" s="672"/>
      <c r="L346" s="149" t="str">
        <f t="shared" si="25"/>
        <v>654E</v>
      </c>
      <c r="M346" s="150" t="str">
        <f t="shared" si="26"/>
        <v>C/V - PROTEC ESTHETIQUE USAGE BMW NON-CERT</v>
      </c>
      <c r="N346" s="151">
        <f>+IF(OR($Q346=Parametres!$G$2,$Q346=Parametres!$G$3),I346,C346)</f>
        <v>0</v>
      </c>
      <c r="O346" s="151">
        <f>+IF(OR($Q346=Parametres!$G$2,$Q346=Parametres!$G$3),J346,D346)</f>
        <v>605</v>
      </c>
      <c r="P346" s="151">
        <f>+IF(OR($Q346=Parametres!$G$2,$Q346=Parametres!$G$3),K346,E346)</f>
        <v>605</v>
      </c>
      <c r="Q346" s="150" t="str">
        <f t="shared" si="27"/>
        <v>6-Coût des ventes</v>
      </c>
      <c r="R346" s="149" t="str">
        <f t="shared" si="28"/>
        <v>450</v>
      </c>
      <c r="S346" s="150" t="str">
        <f t="shared" si="29"/>
        <v>_</v>
      </c>
      <c r="T346" s="152" t="str">
        <f>+VLOOKUP($L346,Data_Validation!$A:$D,1,0)</f>
        <v>654E</v>
      </c>
      <c r="U346" s="152" t="str">
        <f>+VLOOKUP($L346,Data_Validation!$A:$D,3,0)</f>
        <v>Véhicules usagés</v>
      </c>
      <c r="V346" s="152" t="str">
        <f>+VLOOKUP($L346,Data_Validation!$A:$D,4,0)</f>
        <v>Rev. Protections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1956</v>
      </c>
      <c r="B347" s="718" t="s">
        <v>1957</v>
      </c>
      <c r="C347" s="720">
        <v>980</v>
      </c>
      <c r="D347" s="720">
        <v>630</v>
      </c>
      <c r="E347" s="720">
        <v>1610</v>
      </c>
      <c r="F347" s="718" t="s">
        <v>2015</v>
      </c>
      <c r="G347" s="718" t="s">
        <v>1012</v>
      </c>
      <c r="H347" s="673" t="s">
        <v>2971</v>
      </c>
      <c r="I347" s="673"/>
      <c r="J347" s="673"/>
      <c r="K347" s="673"/>
      <c r="L347" s="149" t="str">
        <f t="shared" si="25"/>
        <v>654M</v>
      </c>
      <c r="M347" s="150" t="str">
        <f t="shared" si="26"/>
        <v>C/V - MARQUAGE OTOPROTEC USAGE BMW NON-CERT</v>
      </c>
      <c r="N347" s="151">
        <f>+IF(OR($Q347=Parametres!$G$2,$Q347=Parametres!$G$3),I347,C347)</f>
        <v>980</v>
      </c>
      <c r="O347" s="151">
        <f>+IF(OR($Q347=Parametres!$G$2,$Q347=Parametres!$G$3),J347,D347)</f>
        <v>630</v>
      </c>
      <c r="P347" s="151">
        <f>+IF(OR($Q347=Parametres!$G$2,$Q347=Parametres!$G$3),K347,E347)</f>
        <v>1610</v>
      </c>
      <c r="Q347" s="150" t="str">
        <f t="shared" si="27"/>
        <v>6-Coût des 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654M</v>
      </c>
      <c r="U347" s="152" t="str">
        <f>+VLOOKUP($L347,Data_Validation!$A:$D,3,0)</f>
        <v>Véhicules usagés</v>
      </c>
      <c r="V347" s="152" t="str">
        <f>+VLOOKUP($L347,Data_Validation!$A:$D,4,0)</f>
        <v>Rev. Protections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2403</v>
      </c>
      <c r="B348" s="718" t="s">
        <v>2404</v>
      </c>
      <c r="C348" s="720">
        <v>0</v>
      </c>
      <c r="D348" s="720">
        <v>2383.9499999999998</v>
      </c>
      <c r="E348" s="720">
        <v>2383.9499999999998</v>
      </c>
      <c r="F348" s="718" t="s">
        <v>2015</v>
      </c>
      <c r="G348" s="718" t="s">
        <v>1012</v>
      </c>
      <c r="H348" s="673" t="s">
        <v>2971</v>
      </c>
      <c r="I348" s="672"/>
      <c r="J348" s="672"/>
      <c r="K348" s="672"/>
      <c r="L348" s="149" t="str">
        <f t="shared" si="25"/>
        <v>654R</v>
      </c>
      <c r="M348" s="150" t="str">
        <f t="shared" si="26"/>
        <v>C/V - ASS. REMP. USAGE BMW NON-CERT</v>
      </c>
      <c r="N348" s="151">
        <f>+IF(OR($Q348=Parametres!$G$2,$Q348=Parametres!$G$3),I348,C348)</f>
        <v>0</v>
      </c>
      <c r="O348" s="151">
        <f>+IF(OR($Q348=Parametres!$G$2,$Q348=Parametres!$G$3),J348,D348)</f>
        <v>2383.9499999999998</v>
      </c>
      <c r="P348" s="151">
        <f>+IF(OR($Q348=Parametres!$G$2,$Q348=Parametres!$G$3),K348,E348)</f>
        <v>2383.9499999999998</v>
      </c>
      <c r="Q348" s="150" t="str">
        <f t="shared" si="27"/>
        <v>6-Coût des 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654R</v>
      </c>
      <c r="U348" s="152" t="str">
        <f>+VLOOKUP($L348,Data_Validation!$A:$D,3,0)</f>
        <v>Véhicules usagés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2849</v>
      </c>
      <c r="B349" s="718" t="s">
        <v>2850</v>
      </c>
      <c r="C349" s="719">
        <v>0</v>
      </c>
      <c r="D349" s="719">
        <v>604.25</v>
      </c>
      <c r="E349" s="719">
        <v>604.25</v>
      </c>
      <c r="F349" s="718" t="s">
        <v>2015</v>
      </c>
      <c r="G349" s="718" t="s">
        <v>1012</v>
      </c>
      <c r="H349" s="719" t="s">
        <v>2971</v>
      </c>
      <c r="I349" s="720"/>
      <c r="J349" s="720"/>
      <c r="K349" s="720"/>
      <c r="L349" s="149" t="str">
        <f t="shared" si="25"/>
        <v>654T</v>
      </c>
      <c r="M349" s="150" t="str">
        <f t="shared" si="26"/>
        <v>C/V - TRAITEMENT OTOPROTEC USAGE BMW NON-CERT</v>
      </c>
      <c r="N349" s="151">
        <f>+IF(OR($Q349=Parametres!$G$2,$Q349=Parametres!$G$3),I349,C349)</f>
        <v>0</v>
      </c>
      <c r="O349" s="151">
        <f>+IF(OR($Q349=Parametres!$G$2,$Q349=Parametres!$G$3),J349,D349)</f>
        <v>604.25</v>
      </c>
      <c r="P349" s="151">
        <f>+IF(OR($Q349=Parametres!$G$2,$Q349=Parametres!$G$3),K349,E349)</f>
        <v>604.25</v>
      </c>
      <c r="Q349" s="150" t="str">
        <f t="shared" si="27"/>
        <v>6-Coût des 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654T</v>
      </c>
      <c r="U349" s="152" t="str">
        <f>+VLOOKUP($L349,Data_Validation!$A:$D,3,0)</f>
        <v>Véhicules usagés</v>
      </c>
      <c r="V349" s="152" t="str">
        <f>+VLOOKUP($L349,Data_Validation!$A:$D,4,0)</f>
        <v>Rev. Autres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2980</v>
      </c>
      <c r="B350" s="718" t="s">
        <v>2981</v>
      </c>
      <c r="C350" s="719">
        <v>0</v>
      </c>
      <c r="D350" s="719">
        <v>4619.1099999999997</v>
      </c>
      <c r="E350" s="719">
        <v>4619.1099999999997</v>
      </c>
      <c r="F350" s="718" t="s">
        <v>2015</v>
      </c>
      <c r="G350" s="718" t="s">
        <v>1012</v>
      </c>
      <c r="H350" s="719" t="s">
        <v>2971</v>
      </c>
      <c r="I350" s="720"/>
      <c r="J350" s="720"/>
      <c r="K350" s="720"/>
      <c r="L350" s="149" t="str">
        <f t="shared" si="25"/>
        <v>654V</v>
      </c>
      <c r="M350" s="150" t="str">
        <f t="shared" si="26"/>
        <v>C/V - ASS VIE/INV USAGE BMW NON-CERT</v>
      </c>
      <c r="N350" s="151">
        <f>+IF(OR($Q350=Parametres!$G$2,$Q350=Parametres!$G$3),I350,C350)</f>
        <v>0</v>
      </c>
      <c r="O350" s="151">
        <f>+IF(OR($Q350=Parametres!$G$2,$Q350=Parametres!$G$3),J350,D350)</f>
        <v>4619.1099999999997</v>
      </c>
      <c r="P350" s="151">
        <f>+IF(OR($Q350=Parametres!$G$2,$Q350=Parametres!$G$3),K350,E350)</f>
        <v>4619.1099999999997</v>
      </c>
      <c r="Q350" s="150" t="str">
        <f t="shared" si="27"/>
        <v>6-Coût des ventes</v>
      </c>
      <c r="R350" s="149" t="str">
        <f t="shared" si="28"/>
        <v>450</v>
      </c>
      <c r="S350" s="150" t="str">
        <f t="shared" si="29"/>
        <v>_</v>
      </c>
      <c r="T350" s="152" t="str">
        <f>+VLOOKUP($L350,Data_Validation!$A:$D,1,0)</f>
        <v>654V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1452</v>
      </c>
      <c r="B351" s="718" t="s">
        <v>673</v>
      </c>
      <c r="C351" s="720">
        <v>0</v>
      </c>
      <c r="D351" s="720">
        <v>4305</v>
      </c>
      <c r="E351" s="720">
        <v>4305</v>
      </c>
      <c r="F351" s="718" t="s">
        <v>2015</v>
      </c>
      <c r="G351" s="718" t="s">
        <v>366</v>
      </c>
      <c r="H351" s="673" t="s">
        <v>2971</v>
      </c>
      <c r="I351" s="672"/>
      <c r="J351" s="672"/>
      <c r="K351" s="672"/>
      <c r="L351" s="149" t="str">
        <f t="shared" si="25"/>
        <v>655</v>
      </c>
      <c r="M351" s="150" t="str">
        <f t="shared" si="26"/>
        <v>C/V - GAR PROL USAGE AUTRE</v>
      </c>
      <c r="N351" s="151">
        <f>+IF(OR($Q351=Parametres!$G$2,$Q351=Parametres!$G$3),I351,C351)</f>
        <v>0</v>
      </c>
      <c r="O351" s="151">
        <f>+IF(OR($Q351=Parametres!$G$2,$Q351=Parametres!$G$3),J351,D351)</f>
        <v>4305</v>
      </c>
      <c r="P351" s="151">
        <f>+IF(OR($Q351=Parametres!$G$2,$Q351=Parametres!$G$3),K351,E351)</f>
        <v>4305</v>
      </c>
      <c r="Q351" s="150" t="str">
        <f t="shared" si="27"/>
        <v>6-Coût des ventes</v>
      </c>
      <c r="R351" s="149" t="str">
        <f t="shared" si="28"/>
        <v>455</v>
      </c>
      <c r="S351" s="150" t="str">
        <f t="shared" si="29"/>
        <v>_</v>
      </c>
      <c r="T351" s="152" t="str">
        <f>+VLOOKUP($L351,Data_Validation!$A:$D,1,0)</f>
        <v>655</v>
      </c>
      <c r="U351" s="152" t="str">
        <f>+VLOOKUP($L351,Data_Validation!$A:$D,3,0)</f>
        <v>Véhicules usagés</v>
      </c>
      <c r="V351" s="152" t="str">
        <f>+VLOOKUP($L351,Data_Validation!$A:$D,4,0)</f>
        <v>Rev. Protections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1696</v>
      </c>
      <c r="B352" s="671" t="s">
        <v>844</v>
      </c>
      <c r="C352" s="672">
        <v>2599.39</v>
      </c>
      <c r="D352" s="672">
        <v>4395.28</v>
      </c>
      <c r="E352" s="672">
        <v>6994.67</v>
      </c>
      <c r="F352" s="671" t="s">
        <v>2015</v>
      </c>
      <c r="G352" s="671" t="s">
        <v>450</v>
      </c>
      <c r="H352" s="666" t="s">
        <v>2971</v>
      </c>
      <c r="I352" s="665"/>
      <c r="J352" s="665"/>
      <c r="K352" s="665"/>
      <c r="L352" s="149" t="str">
        <f t="shared" si="25"/>
        <v>659A</v>
      </c>
      <c r="M352" s="150" t="str">
        <f t="shared" si="26"/>
        <v>C/V - BMW SPA PROGRAMME</v>
      </c>
      <c r="N352" s="151">
        <f>+IF(OR($Q352=Parametres!$G$2,$Q352=Parametres!$G$3),I352,C352)</f>
        <v>2599.39</v>
      </c>
      <c r="O352" s="151">
        <f>+IF(OR($Q352=Parametres!$G$2,$Q352=Parametres!$G$3),J352,D352)</f>
        <v>4395.28</v>
      </c>
      <c r="P352" s="151">
        <f>+IF(OR($Q352=Parametres!$G$2,$Q352=Parametres!$G$3),K352,E352)</f>
        <v>6994.67</v>
      </c>
      <c r="Q352" s="150" t="str">
        <f t="shared" si="27"/>
        <v>6-Coût des ventes</v>
      </c>
      <c r="R352" s="149" t="str">
        <f t="shared" si="28"/>
        <v>459A</v>
      </c>
      <c r="S352" s="150" t="str">
        <f t="shared" si="29"/>
        <v>_</v>
      </c>
      <c r="T352" s="152" t="str">
        <f>+VLOOKUP($L352,Data_Validation!$A:$D,1,0)</f>
        <v>659A</v>
      </c>
      <c r="U352" s="152" t="str">
        <f>+VLOOKUP($L352,Data_Validation!$A:$D,3,0)</f>
        <v>service</v>
      </c>
      <c r="V352" s="152" t="str">
        <f>+VLOOKUP($L352,Data_Validation!$A:$D,4,0)</f>
        <v>M/O Esthétique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2192</v>
      </c>
      <c r="B353" s="718" t="s">
        <v>2193</v>
      </c>
      <c r="C353" s="720">
        <v>3939.86</v>
      </c>
      <c r="D353" s="720">
        <v>1217.6199999999999</v>
      </c>
      <c r="E353" s="720">
        <v>5157.4799999999996</v>
      </c>
      <c r="F353" s="718" t="s">
        <v>2015</v>
      </c>
      <c r="G353" s="718" t="s">
        <v>450</v>
      </c>
      <c r="H353" s="673" t="s">
        <v>2971</v>
      </c>
      <c r="I353" s="672"/>
      <c r="J353" s="672"/>
      <c r="K353" s="672"/>
      <c r="L353" s="149" t="str">
        <f t="shared" si="25"/>
        <v>659B</v>
      </c>
      <c r="M353" s="150" t="str">
        <f t="shared" si="26"/>
        <v>C/V - SUBLET ESTHETIQUE</v>
      </c>
      <c r="N353" s="151">
        <f>+IF(OR($Q353=Parametres!$G$2,$Q353=Parametres!$G$3),I353,C353)</f>
        <v>3939.86</v>
      </c>
      <c r="O353" s="151">
        <f>+IF(OR($Q353=Parametres!$G$2,$Q353=Parametres!$G$3),J353,D353)</f>
        <v>1217.6199999999999</v>
      </c>
      <c r="P353" s="151">
        <f>+IF(OR($Q353=Parametres!$G$2,$Q353=Parametres!$G$3),K353,E353)</f>
        <v>5157.4799999999996</v>
      </c>
      <c r="Q353" s="150" t="str">
        <f t="shared" si="27"/>
        <v>6-Coût des ventes</v>
      </c>
      <c r="R353" s="149" t="str">
        <f t="shared" si="28"/>
        <v>459A</v>
      </c>
      <c r="S353" s="150" t="str">
        <f t="shared" si="29"/>
        <v>_</v>
      </c>
      <c r="T353" s="152" t="str">
        <f>+VLOOKUP($L353,Data_Validation!$A:$D,1,0)</f>
        <v>659B</v>
      </c>
      <c r="U353" s="152" t="str">
        <f>+VLOOKUP($L353,Data_Validation!$A:$D,3,0)</f>
        <v>Service</v>
      </c>
      <c r="V353" s="152" t="str">
        <f>+VLOOKUP($L353,Data_Validation!$A:$D,4,0)</f>
        <v>M/O Esthétique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1746</v>
      </c>
      <c r="B354" s="671" t="s">
        <v>1747</v>
      </c>
      <c r="C354" s="672">
        <v>10201.41</v>
      </c>
      <c r="D354" s="672">
        <v>8752.09</v>
      </c>
      <c r="E354" s="672">
        <v>18953.5</v>
      </c>
      <c r="F354" s="671" t="s">
        <v>2015</v>
      </c>
      <c r="G354" s="671" t="s">
        <v>1116</v>
      </c>
      <c r="H354" s="666" t="s">
        <v>2971</v>
      </c>
      <c r="I354" s="665"/>
      <c r="J354" s="665"/>
      <c r="K354" s="665"/>
      <c r="L354" s="149" t="str">
        <f t="shared" si="25"/>
        <v>660A</v>
      </c>
      <c r="M354" s="150" t="str">
        <f t="shared" si="26"/>
        <v>C/V - M/O CLIENT BMW AUTO</v>
      </c>
      <c r="N354" s="151">
        <f>+IF(OR($Q354=Parametres!$G$2,$Q354=Parametres!$G$3),I354,C354)</f>
        <v>10201.41</v>
      </c>
      <c r="O354" s="151">
        <f>+IF(OR($Q354=Parametres!$G$2,$Q354=Parametres!$G$3),J354,D354)</f>
        <v>8752.09</v>
      </c>
      <c r="P354" s="151">
        <f>+IF(OR($Q354=Parametres!$G$2,$Q354=Parametres!$G$3),K354,E354)</f>
        <v>18953.5</v>
      </c>
      <c r="Q354" s="150" t="str">
        <f t="shared" si="27"/>
        <v>6-Coût des ventes</v>
      </c>
      <c r="R354" s="149" t="str">
        <f t="shared" si="28"/>
        <v>460A</v>
      </c>
      <c r="S354" s="150" t="str">
        <f t="shared" si="29"/>
        <v>_</v>
      </c>
      <c r="T354" s="152" t="str">
        <f>+VLOOKUP($L354,Data_Validation!$A:$D,1,0)</f>
        <v>660A</v>
      </c>
      <c r="U354" s="152" t="str">
        <f>+VLOOKUP($L354,Data_Validation!$A:$D,3,0)</f>
        <v>service</v>
      </c>
      <c r="V354" s="152" t="str">
        <f>+VLOOKUP($L354,Data_Validation!$A:$D,4,0)</f>
        <v>M/O Client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1735</v>
      </c>
      <c r="B355" s="718" t="s">
        <v>967</v>
      </c>
      <c r="C355" s="720">
        <v>16156.59</v>
      </c>
      <c r="D355" s="720">
        <v>12041.93</v>
      </c>
      <c r="E355" s="720">
        <v>28198.52</v>
      </c>
      <c r="F355" s="718" t="s">
        <v>2015</v>
      </c>
      <c r="G355" s="718" t="s">
        <v>1116</v>
      </c>
      <c r="H355" s="666" t="s">
        <v>2971</v>
      </c>
      <c r="I355" s="665"/>
      <c r="J355" s="665"/>
      <c r="K355" s="665"/>
      <c r="L355" s="149" t="str">
        <f t="shared" si="25"/>
        <v>660B</v>
      </c>
      <c r="M355" s="150" t="str">
        <f t="shared" si="26"/>
        <v>C/V - M/O CLIENT BMW CAMION</v>
      </c>
      <c r="N355" s="151">
        <f>+IF(OR($Q355=Parametres!$G$2,$Q355=Parametres!$G$3),I355,C355)</f>
        <v>16156.59</v>
      </c>
      <c r="O355" s="151">
        <f>+IF(OR($Q355=Parametres!$G$2,$Q355=Parametres!$G$3),J355,D355)</f>
        <v>12041.93</v>
      </c>
      <c r="P355" s="151">
        <f>+IF(OR($Q355=Parametres!$G$2,$Q355=Parametres!$G$3),K355,E355)</f>
        <v>28198.52</v>
      </c>
      <c r="Q355" s="150" t="str">
        <f t="shared" si="27"/>
        <v>6-Coût des ventes</v>
      </c>
      <c r="R355" s="149" t="str">
        <f t="shared" si="28"/>
        <v>460A</v>
      </c>
      <c r="S355" s="150" t="str">
        <f t="shared" si="29"/>
        <v>_</v>
      </c>
      <c r="T355" s="152" t="str">
        <f>+VLOOKUP($L355,Data_Validation!$A:$D,1,0)</f>
        <v>660B</v>
      </c>
      <c r="U355" s="152" t="str">
        <f>+VLOOKUP($L355,Data_Validation!$A:$D,3,0)</f>
        <v>service</v>
      </c>
      <c r="V355" s="152" t="str">
        <f>+VLOOKUP($L355,Data_Validation!$A:$D,4,0)</f>
        <v>M/O Client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1058</v>
      </c>
      <c r="B356" s="718" t="s">
        <v>837</v>
      </c>
      <c r="C356" s="720">
        <v>1296.93</v>
      </c>
      <c r="D356" s="720">
        <v>2980.68</v>
      </c>
      <c r="E356" s="720">
        <v>4277.6099999999997</v>
      </c>
      <c r="F356" s="718" t="s">
        <v>2015</v>
      </c>
      <c r="G356" s="718" t="s">
        <v>1116</v>
      </c>
      <c r="H356" s="673" t="s">
        <v>2971</v>
      </c>
      <c r="I356" s="672"/>
      <c r="J356" s="672"/>
      <c r="K356" s="672"/>
      <c r="L356" s="149" t="str">
        <f t="shared" si="25"/>
        <v>660D</v>
      </c>
      <c r="M356" s="150" t="str">
        <f t="shared" si="26"/>
        <v>C/V - M/O CLIENT BMW I</v>
      </c>
      <c r="N356" s="151">
        <f>+IF(OR($Q356=Parametres!$G$2,$Q356=Parametres!$G$3),I356,C356)</f>
        <v>1296.93</v>
      </c>
      <c r="O356" s="151">
        <f>+IF(OR($Q356=Parametres!$G$2,$Q356=Parametres!$G$3),J356,D356)</f>
        <v>2980.68</v>
      </c>
      <c r="P356" s="151">
        <f>+IF(OR($Q356=Parametres!$G$2,$Q356=Parametres!$G$3),K356,E356)</f>
        <v>4277.6099999999997</v>
      </c>
      <c r="Q356" s="150" t="str">
        <f t="shared" si="27"/>
        <v>6-Coût des ventes</v>
      </c>
      <c r="R356" s="149" t="str">
        <f t="shared" si="28"/>
        <v>460A</v>
      </c>
      <c r="S356" s="150" t="str">
        <f t="shared" si="29"/>
        <v>_</v>
      </c>
      <c r="T356" s="152" t="str">
        <f>+VLOOKUP($L356,Data_Validation!$A:$D,1,0)</f>
        <v>660D</v>
      </c>
      <c r="U356" s="152" t="str">
        <f>+VLOOKUP($L356,Data_Validation!$A:$D,3,0)</f>
        <v>service</v>
      </c>
      <c r="V356" s="152" t="str">
        <f>+VLOOKUP($L356,Data_Validation!$A:$D,4,0)</f>
        <v>M/O Client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1768</v>
      </c>
      <c r="B357" s="718" t="s">
        <v>1769</v>
      </c>
      <c r="C357" s="719">
        <v>10721.7</v>
      </c>
      <c r="D357" s="719">
        <v>1491.73</v>
      </c>
      <c r="E357" s="719">
        <v>12213.43</v>
      </c>
      <c r="F357" s="718" t="s">
        <v>2015</v>
      </c>
      <c r="G357" s="718" t="s">
        <v>1110</v>
      </c>
      <c r="H357" s="719" t="s">
        <v>2971</v>
      </c>
      <c r="I357" s="720"/>
      <c r="J357" s="720"/>
      <c r="K357" s="720"/>
      <c r="L357" s="149" t="str">
        <f t="shared" si="25"/>
        <v>661A</v>
      </c>
      <c r="M357" s="150" t="str">
        <f t="shared" si="26"/>
        <v>C/V - M/O GARANTIE BMW AUTO</v>
      </c>
      <c r="N357" s="151">
        <f>+IF(OR($Q357=Parametres!$G$2,$Q357=Parametres!$G$3),I357,C357)</f>
        <v>10721.7</v>
      </c>
      <c r="O357" s="151">
        <f>+IF(OR($Q357=Parametres!$G$2,$Q357=Parametres!$G$3),J357,D357)</f>
        <v>1491.73</v>
      </c>
      <c r="P357" s="151">
        <f>+IF(OR($Q357=Parametres!$G$2,$Q357=Parametres!$G$3),K357,E357)</f>
        <v>12213.43</v>
      </c>
      <c r="Q357" s="150" t="str">
        <f t="shared" si="27"/>
        <v>6-Coût des ventes</v>
      </c>
      <c r="R357" s="149" t="str">
        <f t="shared" si="28"/>
        <v>461A</v>
      </c>
      <c r="S357" s="150" t="str">
        <f t="shared" si="29"/>
        <v>_</v>
      </c>
      <c r="T357" s="152" t="str">
        <f>+VLOOKUP($L357,Data_Validation!$A:$D,1,0)</f>
        <v>661A</v>
      </c>
      <c r="U357" s="152" t="str">
        <f>+VLOOKUP($L357,Data_Validation!$A:$D,3,0)</f>
        <v>service</v>
      </c>
      <c r="V357" s="152" t="str">
        <f>+VLOOKUP($L357,Data_Validation!$A:$D,4,0)</f>
        <v>M/O Garantie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1785</v>
      </c>
      <c r="B358" s="671" t="s">
        <v>912</v>
      </c>
      <c r="C358" s="672">
        <v>14161.84</v>
      </c>
      <c r="D358" s="672">
        <v>2927.86</v>
      </c>
      <c r="E358" s="672">
        <v>17089.7</v>
      </c>
      <c r="F358" s="671" t="s">
        <v>2015</v>
      </c>
      <c r="G358" s="671" t="s">
        <v>1110</v>
      </c>
      <c r="H358" s="666" t="s">
        <v>2971</v>
      </c>
      <c r="I358" s="665"/>
      <c r="J358" s="665"/>
      <c r="K358" s="665"/>
      <c r="L358" s="149" t="str">
        <f t="shared" si="25"/>
        <v>661B</v>
      </c>
      <c r="M358" s="150" t="str">
        <f t="shared" si="26"/>
        <v>C/V - M/O GARANTIE BMW CAMION</v>
      </c>
      <c r="N358" s="151">
        <f>+IF(OR($Q358=Parametres!$G$2,$Q358=Parametres!$G$3),I358,C358)</f>
        <v>14161.84</v>
      </c>
      <c r="O358" s="151">
        <f>+IF(OR($Q358=Parametres!$G$2,$Q358=Parametres!$G$3),J358,D358)</f>
        <v>2927.86</v>
      </c>
      <c r="P358" s="151">
        <f>+IF(OR($Q358=Parametres!$G$2,$Q358=Parametres!$G$3),K358,E358)</f>
        <v>17089.7</v>
      </c>
      <c r="Q358" s="150" t="str">
        <f t="shared" si="27"/>
        <v>6-Coût des ventes</v>
      </c>
      <c r="R358" s="149" t="str">
        <f t="shared" si="28"/>
        <v>461A</v>
      </c>
      <c r="S358" s="150" t="str">
        <f t="shared" si="29"/>
        <v>_</v>
      </c>
      <c r="T358" s="152" t="str">
        <f>+VLOOKUP($L358,Data_Validation!$A:$D,1,0)</f>
        <v>661B</v>
      </c>
      <c r="U358" s="152" t="str">
        <f>+VLOOKUP($L358,Data_Validation!$A:$D,3,0)</f>
        <v>service</v>
      </c>
      <c r="V358" s="152" t="str">
        <f>+VLOOKUP($L358,Data_Validation!$A:$D,4,0)</f>
        <v>M/O Garantie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1683</v>
      </c>
      <c r="B359" s="718" t="s">
        <v>886</v>
      </c>
      <c r="C359" s="720">
        <v>1882.6</v>
      </c>
      <c r="D359" s="720">
        <v>571.64</v>
      </c>
      <c r="E359" s="720">
        <v>2454.2399999999998</v>
      </c>
      <c r="F359" s="718" t="s">
        <v>2015</v>
      </c>
      <c r="G359" s="718" t="s">
        <v>441</v>
      </c>
      <c r="H359" s="673" t="s">
        <v>2971</v>
      </c>
      <c r="I359" s="672"/>
      <c r="J359" s="672"/>
      <c r="K359" s="672"/>
      <c r="L359" s="149" t="str">
        <f t="shared" si="25"/>
        <v>661D</v>
      </c>
      <c r="M359" s="150" t="str">
        <f t="shared" si="26"/>
        <v>C/V - M/O ENTRETIEN BMW AUTO</v>
      </c>
      <c r="N359" s="151">
        <f>+IF(OR($Q359=Parametres!$G$2,$Q359=Parametres!$G$3),I359,C359)</f>
        <v>1882.6</v>
      </c>
      <c r="O359" s="151">
        <f>+IF(OR($Q359=Parametres!$G$2,$Q359=Parametres!$G$3),J359,D359)</f>
        <v>571.64</v>
      </c>
      <c r="P359" s="151">
        <f>+IF(OR($Q359=Parametres!$G$2,$Q359=Parametres!$G$3),K359,E359)</f>
        <v>2454.2399999999998</v>
      </c>
      <c r="Q359" s="150" t="str">
        <f t="shared" si="27"/>
        <v>6-Coût des ventes</v>
      </c>
      <c r="R359" s="149" t="str">
        <f t="shared" si="28"/>
        <v>461D</v>
      </c>
      <c r="S359" s="150" t="str">
        <f t="shared" si="29"/>
        <v>_</v>
      </c>
      <c r="T359" s="152" t="str">
        <f>+VLOOKUP($L359,Data_Validation!$A:$D,1,0)</f>
        <v>661D</v>
      </c>
      <c r="U359" s="152" t="str">
        <f>+VLOOKUP($L359,Data_Validation!$A:$D,3,0)</f>
        <v>service</v>
      </c>
      <c r="V359" s="152" t="str">
        <f>+VLOOKUP($L359,Data_Validation!$A:$D,4,0)</f>
        <v>M/O Garantie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1713</v>
      </c>
      <c r="B360" s="718" t="s">
        <v>905</v>
      </c>
      <c r="C360" s="719">
        <v>4733.4799999999996</v>
      </c>
      <c r="D360" s="719">
        <v>1547.61</v>
      </c>
      <c r="E360" s="719">
        <v>6281.09</v>
      </c>
      <c r="F360" s="718" t="s">
        <v>2015</v>
      </c>
      <c r="G360" s="718" t="s">
        <v>441</v>
      </c>
      <c r="H360" s="719" t="s">
        <v>2971</v>
      </c>
      <c r="I360" s="720"/>
      <c r="J360" s="720"/>
      <c r="K360" s="720"/>
      <c r="L360" s="149" t="str">
        <f t="shared" si="25"/>
        <v>661E</v>
      </c>
      <c r="M360" s="150" t="str">
        <f t="shared" si="26"/>
        <v>C/V - M/O ENTRETIEN BMW CAMION</v>
      </c>
      <c r="N360" s="151">
        <f>+IF(OR($Q360=Parametres!$G$2,$Q360=Parametres!$G$3),I360,C360)</f>
        <v>4733.4799999999996</v>
      </c>
      <c r="O360" s="151">
        <f>+IF(OR($Q360=Parametres!$G$2,$Q360=Parametres!$G$3),J360,D360)</f>
        <v>1547.61</v>
      </c>
      <c r="P360" s="151">
        <f>+IF(OR($Q360=Parametres!$G$2,$Q360=Parametres!$G$3),K360,E360)</f>
        <v>6281.09</v>
      </c>
      <c r="Q360" s="150" t="str">
        <f t="shared" si="27"/>
        <v>6-Coût des ventes</v>
      </c>
      <c r="R360" s="149" t="str">
        <f t="shared" si="28"/>
        <v>461D</v>
      </c>
      <c r="S360" s="150" t="str">
        <f t="shared" si="29"/>
        <v>_</v>
      </c>
      <c r="T360" s="152" t="str">
        <f>+VLOOKUP($L360,Data_Validation!$A:$D,1,0)</f>
        <v>661E</v>
      </c>
      <c r="U360" s="152" t="str">
        <f>+VLOOKUP($L360,Data_Validation!$A:$D,3,0)</f>
        <v>service</v>
      </c>
      <c r="V360" s="152" t="str">
        <f>+VLOOKUP($L360,Data_Validation!$A:$D,4,0)</f>
        <v>M/O Garantie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1620</v>
      </c>
      <c r="B361" s="718" t="s">
        <v>822</v>
      </c>
      <c r="C361" s="720">
        <v>310.64999999999998</v>
      </c>
      <c r="D361" s="720">
        <v>445.25</v>
      </c>
      <c r="E361" s="720">
        <v>755.9</v>
      </c>
      <c r="F361" s="718" t="s">
        <v>2015</v>
      </c>
      <c r="G361" s="718" t="s">
        <v>441</v>
      </c>
      <c r="H361" s="673" t="s">
        <v>2971</v>
      </c>
      <c r="I361" s="672"/>
      <c r="J361" s="672"/>
      <c r="K361" s="672"/>
      <c r="L361" s="149" t="str">
        <f t="shared" si="25"/>
        <v>661G</v>
      </c>
      <c r="M361" s="150" t="str">
        <f t="shared" si="26"/>
        <v>C/V - M/O ENTRETIEN BMW I</v>
      </c>
      <c r="N361" s="151">
        <f>+IF(OR($Q361=Parametres!$G$2,$Q361=Parametres!$G$3),I361,C361)</f>
        <v>310.64999999999998</v>
      </c>
      <c r="O361" s="151">
        <f>+IF(OR($Q361=Parametres!$G$2,$Q361=Parametres!$G$3),J361,D361)</f>
        <v>445.25</v>
      </c>
      <c r="P361" s="151">
        <f>+IF(OR($Q361=Parametres!$G$2,$Q361=Parametres!$G$3),K361,E361)</f>
        <v>755.9</v>
      </c>
      <c r="Q361" s="150" t="str">
        <f t="shared" si="27"/>
        <v>6-Coût des ventes</v>
      </c>
      <c r="R361" s="149" t="str">
        <f t="shared" si="28"/>
        <v>461D</v>
      </c>
      <c r="S361" s="150" t="str">
        <f t="shared" si="29"/>
        <v>_</v>
      </c>
      <c r="T361" s="152" t="str">
        <f>+VLOOKUP($L361,Data_Validation!$A:$D,1,0)</f>
        <v>661G</v>
      </c>
      <c r="U361" s="152" t="str">
        <f>+VLOOKUP($L361,Data_Validation!$A:$D,3,0)</f>
        <v>service</v>
      </c>
      <c r="V361" s="152" t="str">
        <f>+VLOOKUP($L361,Data_Validation!$A:$D,4,0)</f>
        <v>M/O Garantie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1033</v>
      </c>
      <c r="B362" s="718" t="s">
        <v>777</v>
      </c>
      <c r="C362" s="719">
        <v>2279.84</v>
      </c>
      <c r="D362" s="719">
        <v>316.51</v>
      </c>
      <c r="E362" s="719">
        <v>2596.35</v>
      </c>
      <c r="F362" s="718" t="s">
        <v>2015</v>
      </c>
      <c r="G362" s="718" t="s">
        <v>1110</v>
      </c>
      <c r="H362" s="719" t="s">
        <v>2971</v>
      </c>
      <c r="I362" s="720"/>
      <c r="J362" s="720"/>
      <c r="K362" s="720"/>
      <c r="L362" s="149" t="str">
        <f t="shared" si="25"/>
        <v>661H</v>
      </c>
      <c r="M362" s="150" t="str">
        <f t="shared" si="26"/>
        <v>C/V - M/O GARANTIE BMW I</v>
      </c>
      <c r="N362" s="151">
        <f>+IF(OR($Q362=Parametres!$G$2,$Q362=Parametres!$G$3),I362,C362)</f>
        <v>2279.84</v>
      </c>
      <c r="O362" s="151">
        <f>+IF(OR($Q362=Parametres!$G$2,$Q362=Parametres!$G$3),J362,D362)</f>
        <v>316.51</v>
      </c>
      <c r="P362" s="151">
        <f>+IF(OR($Q362=Parametres!$G$2,$Q362=Parametres!$G$3),K362,E362)</f>
        <v>2596.35</v>
      </c>
      <c r="Q362" s="150" t="str">
        <f t="shared" si="27"/>
        <v>6-Coût des ventes</v>
      </c>
      <c r="R362" s="149" t="str">
        <f t="shared" si="28"/>
        <v>461A</v>
      </c>
      <c r="S362" s="150" t="str">
        <f t="shared" si="29"/>
        <v>_</v>
      </c>
      <c r="T362" s="152" t="str">
        <f>+VLOOKUP($L362,Data_Validation!$A:$D,1,0)</f>
        <v>661H</v>
      </c>
      <c r="U362" s="152" t="str">
        <f>+VLOOKUP($L362,Data_Validation!$A:$D,3,0)</f>
        <v>service</v>
      </c>
      <c r="V362" s="152" t="str">
        <f>+VLOOKUP($L362,Data_Validation!$A:$D,4,0)</f>
        <v>M/O Garantie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1721</v>
      </c>
      <c r="B363" s="671" t="s">
        <v>1722</v>
      </c>
      <c r="C363" s="672">
        <v>13318.46</v>
      </c>
      <c r="D363" s="672">
        <v>4463.71</v>
      </c>
      <c r="E363" s="672">
        <v>17782.169999999998</v>
      </c>
      <c r="F363" s="671" t="s">
        <v>2015</v>
      </c>
      <c r="G363" s="671" t="s">
        <v>1139</v>
      </c>
      <c r="H363" s="666" t="s">
        <v>2971</v>
      </c>
      <c r="I363" s="665"/>
      <c r="J363" s="665"/>
      <c r="K363" s="665"/>
      <c r="L363" s="149" t="str">
        <f t="shared" si="25"/>
        <v>662A</v>
      </c>
      <c r="M363" s="150" t="str">
        <f t="shared" si="26"/>
        <v>C/V - M/O INTERNE BMW AUTO</v>
      </c>
      <c r="N363" s="151">
        <f>+IF(OR($Q363=Parametres!$G$2,$Q363=Parametres!$G$3),I363,C363)</f>
        <v>13318.46</v>
      </c>
      <c r="O363" s="151">
        <f>+IF(OR($Q363=Parametres!$G$2,$Q363=Parametres!$G$3),J363,D363)</f>
        <v>4463.71</v>
      </c>
      <c r="P363" s="151">
        <f>+IF(OR($Q363=Parametres!$G$2,$Q363=Parametres!$G$3),K363,E363)</f>
        <v>17782.169999999998</v>
      </c>
      <c r="Q363" s="150" t="str">
        <f t="shared" si="27"/>
        <v>6-Coût des ventes</v>
      </c>
      <c r="R363" s="149" t="str">
        <f t="shared" si="28"/>
        <v>462A</v>
      </c>
      <c r="S363" s="150" t="str">
        <f t="shared" si="29"/>
        <v>_</v>
      </c>
      <c r="T363" s="152" t="str">
        <f>+VLOOKUP($L363,Data_Validation!$A:$D,1,0)</f>
        <v>662A</v>
      </c>
      <c r="U363" s="152" t="str">
        <f>+VLOOKUP($L363,Data_Validation!$A:$D,3,0)</f>
        <v>service</v>
      </c>
      <c r="V363" s="152" t="str">
        <f>+VLOOKUP($L363,Data_Validation!$A:$D,4,0)</f>
        <v>M/O Interne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1725</v>
      </c>
      <c r="B364" s="718" t="s">
        <v>923</v>
      </c>
      <c r="C364" s="720">
        <v>12050.07</v>
      </c>
      <c r="D364" s="720">
        <v>4040.85</v>
      </c>
      <c r="E364" s="720">
        <v>16090.92</v>
      </c>
      <c r="F364" s="718" t="s">
        <v>2015</v>
      </c>
      <c r="G364" s="718" t="s">
        <v>1139</v>
      </c>
      <c r="H364" s="673" t="s">
        <v>2971</v>
      </c>
      <c r="I364" s="672"/>
      <c r="J364" s="672"/>
      <c r="K364" s="672"/>
      <c r="L364" s="149" t="str">
        <f t="shared" si="25"/>
        <v>662B</v>
      </c>
      <c r="M364" s="150" t="str">
        <f t="shared" si="26"/>
        <v>C/V - M/O INTERNE BMW CAMION</v>
      </c>
      <c r="N364" s="151">
        <f>+IF(OR($Q364=Parametres!$G$2,$Q364=Parametres!$G$3),I364,C364)</f>
        <v>12050.07</v>
      </c>
      <c r="O364" s="151">
        <f>+IF(OR($Q364=Parametres!$G$2,$Q364=Parametres!$G$3),J364,D364)</f>
        <v>4040.85</v>
      </c>
      <c r="P364" s="151">
        <f>+IF(OR($Q364=Parametres!$G$2,$Q364=Parametres!$G$3),K364,E364)</f>
        <v>16090.92</v>
      </c>
      <c r="Q364" s="150" t="str">
        <f t="shared" si="27"/>
        <v>6-Coût des ventes</v>
      </c>
      <c r="R364" s="149" t="str">
        <f t="shared" si="28"/>
        <v>462A</v>
      </c>
      <c r="S364" s="150" t="str">
        <f t="shared" si="29"/>
        <v>_</v>
      </c>
      <c r="T364" s="152" t="str">
        <f>+VLOOKUP($L364,Data_Validation!$A:$D,1,0)</f>
        <v>662B</v>
      </c>
      <c r="U364" s="152" t="str">
        <f>+VLOOKUP($L364,Data_Validation!$A:$D,3,0)</f>
        <v>service</v>
      </c>
      <c r="V364" s="152" t="str">
        <f>+VLOOKUP($L364,Data_Validation!$A:$D,4,0)</f>
        <v>M/O Interne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1057</v>
      </c>
      <c r="B365" s="718" t="s">
        <v>780</v>
      </c>
      <c r="C365" s="720">
        <v>2516.09</v>
      </c>
      <c r="D365" s="720">
        <v>795.71</v>
      </c>
      <c r="E365" s="720">
        <v>3311.8</v>
      </c>
      <c r="F365" s="718" t="s">
        <v>2015</v>
      </c>
      <c r="G365" s="718" t="s">
        <v>1139</v>
      </c>
      <c r="H365" s="673" t="s">
        <v>2971</v>
      </c>
      <c r="I365" s="672"/>
      <c r="J365" s="672"/>
      <c r="K365" s="672"/>
      <c r="L365" s="149" t="str">
        <f t="shared" si="25"/>
        <v>662D</v>
      </c>
      <c r="M365" s="150" t="str">
        <f t="shared" si="26"/>
        <v>C/V - M/O INTERNE BMW I</v>
      </c>
      <c r="N365" s="151">
        <f>+IF(OR($Q365=Parametres!$G$2,$Q365=Parametres!$G$3),I365,C365)</f>
        <v>2516.09</v>
      </c>
      <c r="O365" s="151">
        <f>+IF(OR($Q365=Parametres!$G$2,$Q365=Parametres!$G$3),J365,D365)</f>
        <v>795.71</v>
      </c>
      <c r="P365" s="151">
        <f>+IF(OR($Q365=Parametres!$G$2,$Q365=Parametres!$G$3),K365,E365)</f>
        <v>3311.8</v>
      </c>
      <c r="Q365" s="150" t="str">
        <f t="shared" si="27"/>
        <v>6-Coût des ventes</v>
      </c>
      <c r="R365" s="149" t="str">
        <f t="shared" si="28"/>
        <v>462A</v>
      </c>
      <c r="S365" s="150" t="str">
        <f t="shared" si="29"/>
        <v>_</v>
      </c>
      <c r="T365" s="152" t="str">
        <f>+VLOOKUP($L365,Data_Validation!$A:$D,1,0)</f>
        <v>662D</v>
      </c>
      <c r="U365" s="152" t="str">
        <f>+VLOOKUP($L365,Data_Validation!$A:$D,3,0)</f>
        <v>service</v>
      </c>
      <c r="V365" s="152" t="str">
        <f>+VLOOKUP($L365,Data_Validation!$A:$D,4,0)</f>
        <v>M/O Interne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2178</v>
      </c>
      <c r="B366" s="718" t="s">
        <v>2179</v>
      </c>
      <c r="C366" s="720">
        <v>2658</v>
      </c>
      <c r="D366" s="720">
        <v>441</v>
      </c>
      <c r="E366" s="720">
        <v>3099</v>
      </c>
      <c r="F366" s="718" t="s">
        <v>2015</v>
      </c>
      <c r="G366" s="718" t="s">
        <v>1139</v>
      </c>
      <c r="H366" s="673" t="s">
        <v>2971</v>
      </c>
      <c r="I366" s="672"/>
      <c r="J366" s="672"/>
      <c r="K366" s="672"/>
      <c r="L366" s="149" t="str">
        <f t="shared" si="25"/>
        <v>662L</v>
      </c>
      <c r="M366" s="150" t="str">
        <f t="shared" si="26"/>
        <v>C/V - SUBLET INTERNE AUTO</v>
      </c>
      <c r="N366" s="151">
        <f>+IF(OR($Q366=Parametres!$G$2,$Q366=Parametres!$G$3),I366,C366)</f>
        <v>2658</v>
      </c>
      <c r="O366" s="151">
        <f>+IF(OR($Q366=Parametres!$G$2,$Q366=Parametres!$G$3),J366,D366)</f>
        <v>441</v>
      </c>
      <c r="P366" s="151">
        <f>+IF(OR($Q366=Parametres!$G$2,$Q366=Parametres!$G$3),K366,E366)</f>
        <v>3099</v>
      </c>
      <c r="Q366" s="150" t="str">
        <f t="shared" si="27"/>
        <v>6-Coût des ventes</v>
      </c>
      <c r="R366" s="149" t="str">
        <f t="shared" si="28"/>
        <v>462A</v>
      </c>
      <c r="S366" s="150" t="str">
        <f t="shared" si="29"/>
        <v>_</v>
      </c>
      <c r="T366" s="152" t="str">
        <f>+VLOOKUP($L366,Data_Validation!$A:$D,1,0)</f>
        <v>662L</v>
      </c>
      <c r="U366" s="152" t="str">
        <f>+VLOOKUP($L366,Data_Validation!$A:$D,3,0)</f>
        <v>Service</v>
      </c>
      <c r="V366" s="152" t="str">
        <f>+VLOOKUP($L366,Data_Validation!$A:$D,4,0)</f>
        <v>M/O Interne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2180</v>
      </c>
      <c r="B367" s="671" t="s">
        <v>2181</v>
      </c>
      <c r="C367" s="672">
        <v>3229.5</v>
      </c>
      <c r="D367" s="672">
        <v>208.5</v>
      </c>
      <c r="E367" s="672">
        <v>3438</v>
      </c>
      <c r="F367" s="671" t="s">
        <v>2015</v>
      </c>
      <c r="G367" s="671" t="s">
        <v>1139</v>
      </c>
      <c r="H367" s="666" t="s">
        <v>2971</v>
      </c>
      <c r="I367" s="665"/>
      <c r="J367" s="665"/>
      <c r="K367" s="665"/>
      <c r="L367" s="149" t="str">
        <f t="shared" si="25"/>
        <v>662M</v>
      </c>
      <c r="M367" s="150" t="str">
        <f t="shared" si="26"/>
        <v>C/V - SUBLET INTERNE CAMION</v>
      </c>
      <c r="N367" s="151">
        <f>+IF(OR($Q367=Parametres!$G$2,$Q367=Parametres!$G$3),I367,C367)</f>
        <v>3229.5</v>
      </c>
      <c r="O367" s="151">
        <f>+IF(OR($Q367=Parametres!$G$2,$Q367=Parametres!$G$3),J367,D367)</f>
        <v>208.5</v>
      </c>
      <c r="P367" s="151">
        <f>+IF(OR($Q367=Parametres!$G$2,$Q367=Parametres!$G$3),K367,E367)</f>
        <v>3438</v>
      </c>
      <c r="Q367" s="150" t="str">
        <f t="shared" si="27"/>
        <v>6-Coût des ventes</v>
      </c>
      <c r="R367" s="149" t="str">
        <f t="shared" si="28"/>
        <v>462A</v>
      </c>
      <c r="S367" s="150" t="str">
        <f t="shared" si="29"/>
        <v>_</v>
      </c>
      <c r="T367" s="152" t="str">
        <f>+VLOOKUP($L367,Data_Validation!$A:$D,1,0)</f>
        <v>662M</v>
      </c>
      <c r="U367" s="152" t="str">
        <f>+VLOOKUP($L367,Data_Validation!$A:$D,3,0)</f>
        <v>Service</v>
      </c>
      <c r="V367" s="152" t="str">
        <f>+VLOOKUP($L367,Data_Validation!$A:$D,4,0)</f>
        <v>M/O Interne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2241</v>
      </c>
      <c r="B368" s="718" t="s">
        <v>2240</v>
      </c>
      <c r="C368" s="720">
        <v>495</v>
      </c>
      <c r="D368" s="720">
        <v>0</v>
      </c>
      <c r="E368" s="720">
        <v>495</v>
      </c>
      <c r="F368" s="718" t="s">
        <v>2015</v>
      </c>
      <c r="G368" s="718" t="s">
        <v>1139</v>
      </c>
      <c r="H368" s="673" t="s">
        <v>2971</v>
      </c>
      <c r="I368" s="672"/>
      <c r="J368" s="672"/>
      <c r="K368" s="672"/>
      <c r="L368" s="149" t="str">
        <f t="shared" si="25"/>
        <v>662N</v>
      </c>
      <c r="M368" s="150" t="str">
        <f t="shared" si="26"/>
        <v>C/V - SUBLET INTERNE ELECTRIQUE</v>
      </c>
      <c r="N368" s="151">
        <f>+IF(OR($Q368=Parametres!$G$2,$Q368=Parametres!$G$3),I368,C368)</f>
        <v>495</v>
      </c>
      <c r="O368" s="151">
        <f>+IF(OR($Q368=Parametres!$G$2,$Q368=Parametres!$G$3),J368,D368)</f>
        <v>0</v>
      </c>
      <c r="P368" s="151">
        <f>+IF(OR($Q368=Parametres!$G$2,$Q368=Parametres!$G$3),K368,E368)</f>
        <v>495</v>
      </c>
      <c r="Q368" s="150" t="str">
        <f t="shared" si="27"/>
        <v>6-Coût des ventes</v>
      </c>
      <c r="R368" s="149" t="str">
        <f t="shared" si="28"/>
        <v>462A</v>
      </c>
      <c r="S368" s="150" t="str">
        <f t="shared" si="29"/>
        <v>_</v>
      </c>
      <c r="T368" s="152" t="str">
        <f>+VLOOKUP($L368,Data_Validation!$A:$D,1,0)</f>
        <v>662N</v>
      </c>
      <c r="U368" s="152" t="str">
        <f>+VLOOKUP($L368,Data_Validation!$A:$D,3,0)</f>
        <v>Service</v>
      </c>
      <c r="V368" s="152" t="str">
        <f>+VLOOKUP($L368,Data_Validation!$A:$D,4,0)</f>
        <v>M/O Interne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1764</v>
      </c>
      <c r="B369" s="671" t="s">
        <v>1765</v>
      </c>
      <c r="C369" s="672">
        <v>6774.1</v>
      </c>
      <c r="D369" s="672">
        <v>4393.7299999999996</v>
      </c>
      <c r="E369" s="672">
        <v>11167.83</v>
      </c>
      <c r="F369" s="671" t="s">
        <v>2015</v>
      </c>
      <c r="G369" s="671" t="s">
        <v>1143</v>
      </c>
      <c r="H369" s="666" t="s">
        <v>2971</v>
      </c>
      <c r="I369" s="665"/>
      <c r="J369" s="665"/>
      <c r="K369" s="665"/>
      <c r="L369" s="149" t="str">
        <f t="shared" si="25"/>
        <v>663A</v>
      </c>
      <c r="M369" s="150" t="str">
        <f t="shared" si="26"/>
        <v>C/V - SOUS-TRAITANCE BMW AUTO</v>
      </c>
      <c r="N369" s="151">
        <f>+IF(OR($Q369=Parametres!$G$2,$Q369=Parametres!$G$3),I369,C369)</f>
        <v>6774.1</v>
      </c>
      <c r="O369" s="151">
        <f>+IF(OR($Q369=Parametres!$G$2,$Q369=Parametres!$G$3),J369,D369)</f>
        <v>4393.7299999999996</v>
      </c>
      <c r="P369" s="151">
        <f>+IF(OR($Q369=Parametres!$G$2,$Q369=Parametres!$G$3),K369,E369)</f>
        <v>11167.83</v>
      </c>
      <c r="Q369" s="150" t="str">
        <f t="shared" si="27"/>
        <v>6-Coût des ventes</v>
      </c>
      <c r="R369" s="149" t="str">
        <f t="shared" si="28"/>
        <v>463A</v>
      </c>
      <c r="S369" s="150" t="str">
        <f t="shared" si="29"/>
        <v>_</v>
      </c>
      <c r="T369" s="152" t="str">
        <f>+VLOOKUP($L369,Data_Validation!$A:$D,1,0)</f>
        <v>663A</v>
      </c>
      <c r="U369" s="152" t="str">
        <f>+VLOOKUP($L369,Data_Validation!$A:$D,3,0)</f>
        <v>service</v>
      </c>
      <c r="V369" s="152" t="str">
        <f>+VLOOKUP($L369,Data_Validation!$A:$D,4,0)</f>
        <v>Sous-traitement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1775</v>
      </c>
      <c r="B370" s="718" t="s">
        <v>898</v>
      </c>
      <c r="C370" s="720">
        <v>3632.3</v>
      </c>
      <c r="D370" s="720">
        <v>1441</v>
      </c>
      <c r="E370" s="720">
        <v>5073.3</v>
      </c>
      <c r="F370" s="718" t="s">
        <v>2015</v>
      </c>
      <c r="G370" s="718" t="s">
        <v>1143</v>
      </c>
      <c r="H370" s="673" t="s">
        <v>2971</v>
      </c>
      <c r="I370" s="672"/>
      <c r="J370" s="672"/>
      <c r="K370" s="672"/>
      <c r="L370" s="149" t="str">
        <f t="shared" si="25"/>
        <v>663B</v>
      </c>
      <c r="M370" s="150" t="str">
        <f t="shared" si="26"/>
        <v>C/V - SOUS-TRAITANCE BMW CAMION</v>
      </c>
      <c r="N370" s="151">
        <f>+IF(OR($Q370=Parametres!$G$2,$Q370=Parametres!$G$3),I370,C370)</f>
        <v>3632.3</v>
      </c>
      <c r="O370" s="151">
        <f>+IF(OR($Q370=Parametres!$G$2,$Q370=Parametres!$G$3),J370,D370)</f>
        <v>1441</v>
      </c>
      <c r="P370" s="151">
        <f>+IF(OR($Q370=Parametres!$G$2,$Q370=Parametres!$G$3),K370,E370)</f>
        <v>5073.3</v>
      </c>
      <c r="Q370" s="150" t="str">
        <f t="shared" si="27"/>
        <v>6-Coût des ventes</v>
      </c>
      <c r="R370" s="149" t="str">
        <f t="shared" si="28"/>
        <v>463A</v>
      </c>
      <c r="S370" s="150" t="str">
        <f t="shared" si="29"/>
        <v>_</v>
      </c>
      <c r="T370" s="152" t="str">
        <f>+VLOOKUP($L370,Data_Validation!$A:$D,1,0)</f>
        <v>663B</v>
      </c>
      <c r="U370" s="152" t="str">
        <f>+VLOOKUP($L370,Data_Validation!$A:$D,3,0)</f>
        <v>service</v>
      </c>
      <c r="V370" s="152" t="str">
        <f>+VLOOKUP($L370,Data_Validation!$A:$D,4,0)</f>
        <v>Sous-traitement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674</v>
      </c>
      <c r="B371" s="718" t="s">
        <v>675</v>
      </c>
      <c r="C371" s="720">
        <v>909</v>
      </c>
      <c r="D371" s="720">
        <v>375</v>
      </c>
      <c r="E371" s="720">
        <v>1284</v>
      </c>
      <c r="F371" s="718" t="s">
        <v>2015</v>
      </c>
      <c r="G371" s="718" t="s">
        <v>1143</v>
      </c>
      <c r="H371" s="673" t="s">
        <v>2971</v>
      </c>
      <c r="I371" s="672"/>
      <c r="J371" s="672"/>
      <c r="K371" s="672"/>
      <c r="L371" s="149" t="str">
        <f t="shared" si="25"/>
        <v>663D</v>
      </c>
      <c r="M371" s="150" t="str">
        <f t="shared" si="26"/>
        <v>C/V - SOUS-TRAITANCE BMW I</v>
      </c>
      <c r="N371" s="151">
        <f>+IF(OR($Q371=Parametres!$G$2,$Q371=Parametres!$G$3),I371,C371)</f>
        <v>909</v>
      </c>
      <c r="O371" s="151">
        <f>+IF(OR($Q371=Parametres!$G$2,$Q371=Parametres!$G$3),J371,D371)</f>
        <v>375</v>
      </c>
      <c r="P371" s="151">
        <f>+IF(OR($Q371=Parametres!$G$2,$Q371=Parametres!$G$3),K371,E371)</f>
        <v>1284</v>
      </c>
      <c r="Q371" s="150" t="str">
        <f t="shared" si="27"/>
        <v>6-Coût des ventes</v>
      </c>
      <c r="R371" s="149" t="str">
        <f t="shared" si="28"/>
        <v>463A</v>
      </c>
      <c r="S371" s="150" t="str">
        <f t="shared" si="29"/>
        <v>_</v>
      </c>
      <c r="T371" s="152" t="str">
        <f>+VLOOKUP($L371,Data_Validation!$A:$D,1,0)</f>
        <v>663D</v>
      </c>
      <c r="U371" s="152" t="str">
        <f>+VLOOKUP($L371,Data_Validation!$A:$D,3,0)</f>
        <v>service</v>
      </c>
      <c r="V371" s="152" t="str">
        <f>+VLOOKUP($L371,Data_Validation!$A:$D,4,0)</f>
        <v>Sous-traitement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1652</v>
      </c>
      <c r="B372" s="718" t="s">
        <v>1653</v>
      </c>
      <c r="C372" s="720">
        <v>2513.65</v>
      </c>
      <c r="D372" s="720">
        <v>1211.1400000000001</v>
      </c>
      <c r="E372" s="720">
        <v>3724.79</v>
      </c>
      <c r="F372" s="718" t="s">
        <v>2015</v>
      </c>
      <c r="G372" s="718" t="s">
        <v>2254</v>
      </c>
      <c r="H372" s="673" t="s">
        <v>2971</v>
      </c>
      <c r="I372" s="673"/>
      <c r="J372" s="673"/>
      <c r="K372" s="673"/>
      <c r="L372" s="149" t="str">
        <f t="shared" si="25"/>
        <v>664A</v>
      </c>
      <c r="M372" s="150" t="str">
        <f t="shared" si="26"/>
        <v>C/V - AJUST. M/O BMW AUTO</v>
      </c>
      <c r="N372" s="151">
        <f>+IF(OR($Q372=Parametres!$G$2,$Q372=Parametres!$G$3),I372,C372)</f>
        <v>2513.65</v>
      </c>
      <c r="O372" s="151">
        <f>+IF(OR($Q372=Parametres!$G$2,$Q372=Parametres!$G$3),J372,D372)</f>
        <v>1211.1400000000001</v>
      </c>
      <c r="P372" s="151">
        <f>+IF(OR($Q372=Parametres!$G$2,$Q372=Parametres!$G$3),K372,E372)</f>
        <v>3724.79</v>
      </c>
      <c r="Q372" s="150" t="str">
        <f t="shared" si="27"/>
        <v>6-Coût des ventes</v>
      </c>
      <c r="R372" s="149" t="str">
        <f t="shared" si="28"/>
        <v>464</v>
      </c>
      <c r="S372" s="150" t="str">
        <f t="shared" si="29"/>
        <v>_</v>
      </c>
      <c r="T372" s="152" t="str">
        <f>+VLOOKUP($L372,Data_Validation!$A:$D,1,0)</f>
        <v>664A</v>
      </c>
      <c r="U372" s="152" t="str">
        <f>+VLOOKUP($L372,Data_Validation!$A:$D,3,0)</f>
        <v>service</v>
      </c>
      <c r="V372" s="152" t="str">
        <f>+VLOOKUP($L372,Data_Validation!$A:$D,4,0)</f>
        <v>Ajustement M/O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1635</v>
      </c>
      <c r="B373" s="671" t="s">
        <v>1636</v>
      </c>
      <c r="C373" s="672">
        <v>1675.78</v>
      </c>
      <c r="D373" s="672">
        <v>807.42</v>
      </c>
      <c r="E373" s="672">
        <v>2483.1999999999998</v>
      </c>
      <c r="F373" s="671" t="s">
        <v>2015</v>
      </c>
      <c r="G373" s="671" t="s">
        <v>2254</v>
      </c>
      <c r="H373" s="666" t="s">
        <v>2971</v>
      </c>
      <c r="I373" s="665"/>
      <c r="J373" s="665"/>
      <c r="K373" s="665"/>
      <c r="L373" s="149" t="str">
        <f t="shared" si="25"/>
        <v>664B</v>
      </c>
      <c r="M373" s="150" t="str">
        <f t="shared" si="26"/>
        <v>C/V - AJUST. M/O BMW CAMION</v>
      </c>
      <c r="N373" s="151">
        <f>+IF(OR($Q373=Parametres!$G$2,$Q373=Parametres!$G$3),I373,C373)</f>
        <v>1675.78</v>
      </c>
      <c r="O373" s="151">
        <f>+IF(OR($Q373=Parametres!$G$2,$Q373=Parametres!$G$3),J373,D373)</f>
        <v>807.42</v>
      </c>
      <c r="P373" s="151">
        <f>+IF(OR($Q373=Parametres!$G$2,$Q373=Parametres!$G$3),K373,E373)</f>
        <v>2483.1999999999998</v>
      </c>
      <c r="Q373" s="150" t="str">
        <f t="shared" si="27"/>
        <v>6-Coût des ventes</v>
      </c>
      <c r="R373" s="149" t="str">
        <f t="shared" si="28"/>
        <v>464</v>
      </c>
      <c r="S373" s="150" t="str">
        <f t="shared" si="29"/>
        <v>_</v>
      </c>
      <c r="T373" s="152" t="str">
        <f>+VLOOKUP($L373,Data_Validation!$A:$D,1,0)</f>
        <v>664B</v>
      </c>
      <c r="U373" s="152" t="str">
        <f>+VLOOKUP($L373,Data_Validation!$A:$D,3,0)</f>
        <v>service</v>
      </c>
      <c r="V373" s="152" t="str">
        <f>+VLOOKUP($L373,Data_Validation!$A:$D,4,0)</f>
        <v>Ajustement M/O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1803</v>
      </c>
      <c r="B374" s="718" t="s">
        <v>1804</v>
      </c>
      <c r="C374" s="719">
        <v>26012.78</v>
      </c>
      <c r="D374" s="719">
        <v>20702.71</v>
      </c>
      <c r="E374" s="719">
        <v>46715.49</v>
      </c>
      <c r="F374" s="718" t="s">
        <v>2015</v>
      </c>
      <c r="G374" s="718" t="s">
        <v>1120</v>
      </c>
      <c r="H374" s="719" t="s">
        <v>2971</v>
      </c>
      <c r="I374" s="720"/>
      <c r="J374" s="720"/>
      <c r="K374" s="720"/>
      <c r="L374" s="149" t="str">
        <f t="shared" si="25"/>
        <v>670A</v>
      </c>
      <c r="M374" s="150" t="str">
        <f t="shared" si="26"/>
        <v>C/V - PIECES BT CLIENT BMW AUTO</v>
      </c>
      <c r="N374" s="151">
        <f>+IF(OR($Q374=Parametres!$G$2,$Q374=Parametres!$G$3),I374,C374)</f>
        <v>26012.78</v>
      </c>
      <c r="O374" s="151">
        <f>+IF(OR($Q374=Parametres!$G$2,$Q374=Parametres!$G$3),J374,D374)</f>
        <v>20702.71</v>
      </c>
      <c r="P374" s="151">
        <f>+IF(OR($Q374=Parametres!$G$2,$Q374=Parametres!$G$3),K374,E374)</f>
        <v>46715.49</v>
      </c>
      <c r="Q374" s="150" t="str">
        <f t="shared" si="27"/>
        <v>6-Coût des ventes</v>
      </c>
      <c r="R374" s="149" t="str">
        <f t="shared" si="28"/>
        <v>470A</v>
      </c>
      <c r="S374" s="150" t="str">
        <f t="shared" si="29"/>
        <v>_</v>
      </c>
      <c r="T374" s="152" t="str">
        <f>+VLOOKUP($L374,Data_Validation!$A:$D,1,0)</f>
        <v>670A</v>
      </c>
      <c r="U374" s="152" t="str">
        <f>+VLOOKUP($L374,Data_Validation!$A:$D,3,0)</f>
        <v>Pièces</v>
      </c>
      <c r="V374" s="152" t="str">
        <f>+VLOOKUP($L374,Data_Validation!$A:$D,4,0)</f>
        <v>Pièces Ro Clients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1784</v>
      </c>
      <c r="B375" s="718" t="s">
        <v>960</v>
      </c>
      <c r="C375" s="720">
        <v>60955.839999999997</v>
      </c>
      <c r="D375" s="720">
        <v>17968.12</v>
      </c>
      <c r="E375" s="720">
        <v>78923.960000000006</v>
      </c>
      <c r="F375" s="718" t="s">
        <v>2015</v>
      </c>
      <c r="G375" s="718" t="s">
        <v>1120</v>
      </c>
      <c r="H375" s="666" t="s">
        <v>2971</v>
      </c>
      <c r="I375" s="665"/>
      <c r="J375" s="665"/>
      <c r="K375" s="665"/>
      <c r="L375" s="149" t="str">
        <f t="shared" si="25"/>
        <v>670B</v>
      </c>
      <c r="M375" s="150" t="str">
        <f t="shared" si="26"/>
        <v>C/V - PIECES BT CLIENT BMW CAMION</v>
      </c>
      <c r="N375" s="151">
        <f>+IF(OR($Q375=Parametres!$G$2,$Q375=Parametres!$G$3),I375,C375)</f>
        <v>60955.839999999997</v>
      </c>
      <c r="O375" s="151">
        <f>+IF(OR($Q375=Parametres!$G$2,$Q375=Parametres!$G$3),J375,D375)</f>
        <v>17968.12</v>
      </c>
      <c r="P375" s="151">
        <f>+IF(OR($Q375=Parametres!$G$2,$Q375=Parametres!$G$3),K375,E375)</f>
        <v>78923.960000000006</v>
      </c>
      <c r="Q375" s="150" t="str">
        <f t="shared" si="27"/>
        <v>6-Coût des ventes</v>
      </c>
      <c r="R375" s="149" t="str">
        <f t="shared" si="28"/>
        <v>470A</v>
      </c>
      <c r="S375" s="150" t="str">
        <f t="shared" si="29"/>
        <v>_</v>
      </c>
      <c r="T375" s="152" t="str">
        <f>+VLOOKUP($L375,Data_Validation!$A:$D,1,0)</f>
        <v>670B</v>
      </c>
      <c r="U375" s="152" t="str">
        <f>+VLOOKUP($L375,Data_Validation!$A:$D,3,0)</f>
        <v>Pièces</v>
      </c>
      <c r="V375" s="152" t="str">
        <f>+VLOOKUP($L375,Data_Validation!$A:$D,4,0)</f>
        <v>Pièces Ro Clients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1606</v>
      </c>
      <c r="B376" s="671" t="s">
        <v>880</v>
      </c>
      <c r="C376" s="672">
        <v>1929.54</v>
      </c>
      <c r="D376" s="672">
        <v>1692.25</v>
      </c>
      <c r="E376" s="672">
        <v>3621.79</v>
      </c>
      <c r="F376" s="671" t="s">
        <v>2015</v>
      </c>
      <c r="G376" s="671" t="s">
        <v>1120</v>
      </c>
      <c r="H376" s="666" t="s">
        <v>2971</v>
      </c>
      <c r="I376" s="665"/>
      <c r="J376" s="665"/>
      <c r="K376" s="665"/>
      <c r="L376" s="149" t="str">
        <f t="shared" si="25"/>
        <v>670D</v>
      </c>
      <c r="M376" s="150" t="str">
        <f t="shared" si="26"/>
        <v>C/V - PIECES BT CLIENT BMW I</v>
      </c>
      <c r="N376" s="151">
        <f>+IF(OR($Q376=Parametres!$G$2,$Q376=Parametres!$G$3),I376,C376)</f>
        <v>1929.54</v>
      </c>
      <c r="O376" s="151">
        <f>+IF(OR($Q376=Parametres!$G$2,$Q376=Parametres!$G$3),J376,D376)</f>
        <v>1692.25</v>
      </c>
      <c r="P376" s="151">
        <f>+IF(OR($Q376=Parametres!$G$2,$Q376=Parametres!$G$3),K376,E376)</f>
        <v>3621.79</v>
      </c>
      <c r="Q376" s="150" t="str">
        <f t="shared" si="27"/>
        <v>6-Coût des ventes</v>
      </c>
      <c r="R376" s="149" t="str">
        <f t="shared" si="28"/>
        <v>470A</v>
      </c>
      <c r="S376" s="150" t="str">
        <f t="shared" si="29"/>
        <v>_</v>
      </c>
      <c r="T376" s="152" t="str">
        <f>+VLOOKUP($L376,Data_Validation!$A:$D,1,0)</f>
        <v>670D</v>
      </c>
      <c r="U376" s="152" t="str">
        <f>+VLOOKUP($L376,Data_Validation!$A:$D,3,0)</f>
        <v>Pièces</v>
      </c>
      <c r="V376" s="152" t="str">
        <f>+VLOOKUP($L376,Data_Validation!$A:$D,4,0)</f>
        <v>Pièces Ro Clients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2424</v>
      </c>
      <c r="B377" s="718" t="s">
        <v>2425</v>
      </c>
      <c r="C377" s="720">
        <v>265.70999999999998</v>
      </c>
      <c r="D377" s="720">
        <v>0</v>
      </c>
      <c r="E377" s="720">
        <v>265.70999999999998</v>
      </c>
      <c r="F377" s="718" t="s">
        <v>2015</v>
      </c>
      <c r="G377" s="718" t="s">
        <v>2083</v>
      </c>
      <c r="H377" s="673" t="s">
        <v>2971</v>
      </c>
      <c r="I377" s="672"/>
      <c r="J377" s="672"/>
      <c r="K377" s="672"/>
      <c r="L377" s="149" t="str">
        <f t="shared" si="25"/>
        <v>671B</v>
      </c>
      <c r="M377" s="150" t="str">
        <f t="shared" si="26"/>
        <v>C/V - PIECES BT CARROSS. BMW CAMION</v>
      </c>
      <c r="N377" s="151">
        <f>+IF(OR($Q377=Parametres!$G$2,$Q377=Parametres!$G$3),I377,C377)</f>
        <v>265.70999999999998</v>
      </c>
      <c r="O377" s="151">
        <f>+IF(OR($Q377=Parametres!$G$2,$Q377=Parametres!$G$3),J377,D377)</f>
        <v>0</v>
      </c>
      <c r="P377" s="151">
        <f>+IF(OR($Q377=Parametres!$G$2,$Q377=Parametres!$G$3),K377,E377)</f>
        <v>265.70999999999998</v>
      </c>
      <c r="Q377" s="150" t="str">
        <f t="shared" si="27"/>
        <v>6-Coût des ventes</v>
      </c>
      <c r="R377" s="149" t="str">
        <f t="shared" si="28"/>
        <v>471A</v>
      </c>
      <c r="S377" s="150" t="str">
        <f t="shared" si="29"/>
        <v>_</v>
      </c>
      <c r="T377" s="152" t="str">
        <f>+VLOOKUP($L377,Data_Validation!$A:$D,1,0)</f>
        <v>671B</v>
      </c>
      <c r="U377" s="152" t="str">
        <f>+VLOOKUP($L377,Data_Validation!$A:$D,3,0)</f>
        <v>Pièces</v>
      </c>
      <c r="V377" s="152" t="str">
        <f>+VLOOKUP($L377,Data_Validation!$A:$D,4,0)</f>
        <v>Pièces Ro Carrosserie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1831</v>
      </c>
      <c r="B378" s="718" t="s">
        <v>1832</v>
      </c>
      <c r="C378" s="720">
        <v>42937.58</v>
      </c>
      <c r="D378" s="720">
        <v>10649.79</v>
      </c>
      <c r="E378" s="720">
        <v>53587.37</v>
      </c>
      <c r="F378" s="718" t="s">
        <v>2015</v>
      </c>
      <c r="G378" s="718" t="s">
        <v>1096</v>
      </c>
      <c r="H378" s="609" t="s">
        <v>2971</v>
      </c>
      <c r="I378" s="608"/>
      <c r="J378" s="608"/>
      <c r="K378" s="608"/>
      <c r="L378" s="149" t="str">
        <f t="shared" si="25"/>
        <v>672A</v>
      </c>
      <c r="M378" s="150" t="str">
        <f t="shared" si="26"/>
        <v>C/V - PIECES GARANTIE BMW AUTO</v>
      </c>
      <c r="N378" s="151">
        <f>+IF(OR($Q378=Parametres!$G$2,$Q378=Parametres!$G$3),I378,C378)</f>
        <v>42937.58</v>
      </c>
      <c r="O378" s="151">
        <f>+IF(OR($Q378=Parametres!$G$2,$Q378=Parametres!$G$3),J378,D378)</f>
        <v>10649.79</v>
      </c>
      <c r="P378" s="151">
        <f>+IF(OR($Q378=Parametres!$G$2,$Q378=Parametres!$G$3),K378,E378)</f>
        <v>53587.37</v>
      </c>
      <c r="Q378" s="150" t="str">
        <f t="shared" si="27"/>
        <v>6-Coût des ventes</v>
      </c>
      <c r="R378" s="149" t="str">
        <f t="shared" si="28"/>
        <v>472A</v>
      </c>
      <c r="S378" s="150" t="str">
        <f t="shared" si="29"/>
        <v>_</v>
      </c>
      <c r="T378" s="152" t="str">
        <f>+VLOOKUP($L378,Data_Validation!$A:$D,1,0)</f>
        <v>672A</v>
      </c>
      <c r="U378" s="152" t="str">
        <f>+VLOOKUP($L378,Data_Validation!$A:$D,3,0)</f>
        <v>pièces</v>
      </c>
      <c r="V378" s="152" t="str">
        <f>+VLOOKUP($L378,Data_Validation!$A:$D,4,0)</f>
        <v>P/A Garantie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1826</v>
      </c>
      <c r="B379" s="718" t="s">
        <v>841</v>
      </c>
      <c r="C379" s="719">
        <v>48068.28</v>
      </c>
      <c r="D379" s="719">
        <v>24286.47</v>
      </c>
      <c r="E379" s="719">
        <v>72354.75</v>
      </c>
      <c r="F379" s="718" t="s">
        <v>2015</v>
      </c>
      <c r="G379" s="718" t="s">
        <v>1096</v>
      </c>
      <c r="H379" s="719" t="s">
        <v>2971</v>
      </c>
      <c r="I379" s="720"/>
      <c r="J379" s="720"/>
      <c r="K379" s="720"/>
      <c r="L379" s="149" t="str">
        <f t="shared" si="25"/>
        <v>672B</v>
      </c>
      <c r="M379" s="150" t="str">
        <f t="shared" si="26"/>
        <v>C/V - PIECES GARANTIE BMW CAMION</v>
      </c>
      <c r="N379" s="151">
        <f>+IF(OR($Q379=Parametres!$G$2,$Q379=Parametres!$G$3),I379,C379)</f>
        <v>48068.28</v>
      </c>
      <c r="O379" s="151">
        <f>+IF(OR($Q379=Parametres!$G$2,$Q379=Parametres!$G$3),J379,D379)</f>
        <v>24286.47</v>
      </c>
      <c r="P379" s="151">
        <f>+IF(OR($Q379=Parametres!$G$2,$Q379=Parametres!$G$3),K379,E379)</f>
        <v>72354.75</v>
      </c>
      <c r="Q379" s="150" t="str">
        <f t="shared" si="27"/>
        <v>6-Coût des ventes</v>
      </c>
      <c r="R379" s="149" t="str">
        <f t="shared" si="28"/>
        <v>472A</v>
      </c>
      <c r="S379" s="150" t="str">
        <f t="shared" si="29"/>
        <v>_</v>
      </c>
      <c r="T379" s="152" t="str">
        <f>+VLOOKUP($L379,Data_Validation!$A:$D,1,0)</f>
        <v>672B</v>
      </c>
      <c r="U379" s="152" t="str">
        <f>+VLOOKUP($L379,Data_Validation!$A:$D,3,0)</f>
        <v>pièces</v>
      </c>
      <c r="V379" s="152" t="str">
        <f>+VLOOKUP($L379,Data_Validation!$A:$D,4,0)</f>
        <v>P/A Garantie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1710</v>
      </c>
      <c r="B380" s="718" t="s">
        <v>954</v>
      </c>
      <c r="C380" s="720">
        <v>4164.8999999999996</v>
      </c>
      <c r="D380" s="720">
        <v>1015.39</v>
      </c>
      <c r="E380" s="720">
        <v>5180.29</v>
      </c>
      <c r="F380" s="718" t="s">
        <v>2015</v>
      </c>
      <c r="G380" s="718" t="s">
        <v>434</v>
      </c>
      <c r="H380" s="673" t="s">
        <v>2971</v>
      </c>
      <c r="I380" s="672"/>
      <c r="J380" s="672"/>
      <c r="K380" s="672"/>
      <c r="L380" s="149" t="str">
        <f t="shared" si="25"/>
        <v>672D</v>
      </c>
      <c r="M380" s="150" t="str">
        <f t="shared" si="26"/>
        <v>C/V - PIECES ENTRETIEN BMW AUTO</v>
      </c>
      <c r="N380" s="151">
        <f>+IF(OR($Q380=Parametres!$G$2,$Q380=Parametres!$G$3),I380,C380)</f>
        <v>4164.8999999999996</v>
      </c>
      <c r="O380" s="151">
        <f>+IF(OR($Q380=Parametres!$G$2,$Q380=Parametres!$G$3),J380,D380)</f>
        <v>1015.39</v>
      </c>
      <c r="P380" s="151">
        <f>+IF(OR($Q380=Parametres!$G$2,$Q380=Parametres!$G$3),K380,E380)</f>
        <v>5180.29</v>
      </c>
      <c r="Q380" s="150" t="str">
        <f t="shared" si="27"/>
        <v>6-Coût des ventes</v>
      </c>
      <c r="R380" s="149" t="str">
        <f t="shared" si="28"/>
        <v>472D</v>
      </c>
      <c r="S380" s="150" t="str">
        <f t="shared" si="29"/>
        <v>_</v>
      </c>
      <c r="T380" s="152" t="str">
        <f>+VLOOKUP($L380,Data_Validation!$A:$D,1,0)</f>
        <v>672D</v>
      </c>
      <c r="U380" s="152" t="str">
        <f>+VLOOKUP($L380,Data_Validation!$A:$D,3,0)</f>
        <v>pièces</v>
      </c>
      <c r="V380" s="152" t="str">
        <f>+VLOOKUP($L380,Data_Validation!$A:$D,4,0)</f>
        <v>P/A Garantie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1759</v>
      </c>
      <c r="B381" s="718" t="s">
        <v>845</v>
      </c>
      <c r="C381" s="720">
        <v>9823.82</v>
      </c>
      <c r="D381" s="720">
        <v>3563.17</v>
      </c>
      <c r="E381" s="720">
        <v>13386.99</v>
      </c>
      <c r="F381" s="718" t="s">
        <v>2015</v>
      </c>
      <c r="G381" s="718" t="s">
        <v>434</v>
      </c>
      <c r="H381" s="666" t="s">
        <v>2971</v>
      </c>
      <c r="I381" s="665"/>
      <c r="J381" s="665"/>
      <c r="K381" s="665"/>
      <c r="L381" s="149" t="str">
        <f t="shared" si="25"/>
        <v>672E</v>
      </c>
      <c r="M381" s="150" t="str">
        <f t="shared" si="26"/>
        <v>C/V - PIECES ENTRETIEN BMW CAMION</v>
      </c>
      <c r="N381" s="151">
        <f>+IF(OR($Q381=Parametres!$G$2,$Q381=Parametres!$G$3),I381,C381)</f>
        <v>9823.82</v>
      </c>
      <c r="O381" s="151">
        <f>+IF(OR($Q381=Parametres!$G$2,$Q381=Parametres!$G$3),J381,D381)</f>
        <v>3563.17</v>
      </c>
      <c r="P381" s="151">
        <f>+IF(OR($Q381=Parametres!$G$2,$Q381=Parametres!$G$3),K381,E381)</f>
        <v>13386.99</v>
      </c>
      <c r="Q381" s="150" t="str">
        <f t="shared" si="27"/>
        <v>6-Coût des ventes</v>
      </c>
      <c r="R381" s="149" t="str">
        <f t="shared" si="28"/>
        <v>472D</v>
      </c>
      <c r="S381" s="150" t="str">
        <f t="shared" si="29"/>
        <v>_</v>
      </c>
      <c r="T381" s="152" t="str">
        <f>+VLOOKUP($L381,Data_Validation!$A:$D,1,0)</f>
        <v>672E</v>
      </c>
      <c r="U381" s="152" t="str">
        <f>+VLOOKUP($L381,Data_Validation!$A:$D,3,0)</f>
        <v>pièces</v>
      </c>
      <c r="V381" s="152" t="str">
        <f>+VLOOKUP($L381,Data_Validation!$A:$D,4,0)</f>
        <v>P/A Garantie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1614</v>
      </c>
      <c r="B382" s="718" t="s">
        <v>785</v>
      </c>
      <c r="C382" s="719">
        <v>501.03</v>
      </c>
      <c r="D382" s="719">
        <v>791.12</v>
      </c>
      <c r="E382" s="719">
        <v>1292.1500000000001</v>
      </c>
      <c r="F382" s="718" t="s">
        <v>2015</v>
      </c>
      <c r="G382" s="718" t="s">
        <v>434</v>
      </c>
      <c r="H382" s="719" t="s">
        <v>2971</v>
      </c>
      <c r="I382" s="720"/>
      <c r="J382" s="720"/>
      <c r="K382" s="720"/>
      <c r="L382" s="149" t="str">
        <f t="shared" si="25"/>
        <v>672G</v>
      </c>
      <c r="M382" s="150" t="str">
        <f t="shared" si="26"/>
        <v>C/V - PIECES ENTRETIEN BMW I</v>
      </c>
      <c r="N382" s="151">
        <f>+IF(OR($Q382=Parametres!$G$2,$Q382=Parametres!$G$3),I382,C382)</f>
        <v>501.03</v>
      </c>
      <c r="O382" s="151">
        <f>+IF(OR($Q382=Parametres!$G$2,$Q382=Parametres!$G$3),J382,D382)</f>
        <v>791.12</v>
      </c>
      <c r="P382" s="151">
        <f>+IF(OR($Q382=Parametres!$G$2,$Q382=Parametres!$G$3),K382,E382)</f>
        <v>1292.1500000000001</v>
      </c>
      <c r="Q382" s="150" t="str">
        <f t="shared" si="27"/>
        <v>6-Coût des ventes</v>
      </c>
      <c r="R382" s="149" t="str">
        <f t="shared" si="28"/>
        <v>472D</v>
      </c>
      <c r="S382" s="150" t="str">
        <f t="shared" si="29"/>
        <v>_</v>
      </c>
      <c r="T382" s="152" t="str">
        <f>+VLOOKUP($L382,Data_Validation!$A:$D,1,0)</f>
        <v>672G</v>
      </c>
      <c r="U382" s="152" t="str">
        <f>+VLOOKUP($L382,Data_Validation!$A:$D,3,0)</f>
        <v>pièces</v>
      </c>
      <c r="V382" s="152" t="str">
        <f>+VLOOKUP($L382,Data_Validation!$A:$D,4,0)</f>
        <v>P/A Garantie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1034</v>
      </c>
      <c r="B383" s="718" t="s">
        <v>676</v>
      </c>
      <c r="C383" s="719">
        <v>34984.230000000003</v>
      </c>
      <c r="D383" s="719">
        <v>363.05</v>
      </c>
      <c r="E383" s="719">
        <v>35347.279999999999</v>
      </c>
      <c r="F383" s="718" t="s">
        <v>2015</v>
      </c>
      <c r="G383" s="718" t="s">
        <v>1096</v>
      </c>
      <c r="H383" s="719" t="s">
        <v>2971</v>
      </c>
      <c r="I383" s="720"/>
      <c r="J383" s="720"/>
      <c r="K383" s="720"/>
      <c r="L383" s="149" t="str">
        <f t="shared" si="25"/>
        <v>672H</v>
      </c>
      <c r="M383" s="150" t="str">
        <f t="shared" si="26"/>
        <v>C/V - PIECES GARANTIE BMW I</v>
      </c>
      <c r="N383" s="151">
        <f>+IF(OR($Q383=Parametres!$G$2,$Q383=Parametres!$G$3),I383,C383)</f>
        <v>34984.230000000003</v>
      </c>
      <c r="O383" s="151">
        <f>+IF(OR($Q383=Parametres!$G$2,$Q383=Parametres!$G$3),J383,D383)</f>
        <v>363.05</v>
      </c>
      <c r="P383" s="151">
        <f>+IF(OR($Q383=Parametres!$G$2,$Q383=Parametres!$G$3),K383,E383)</f>
        <v>35347.279999999999</v>
      </c>
      <c r="Q383" s="150" t="str">
        <f t="shared" si="27"/>
        <v>6-Coût des ventes</v>
      </c>
      <c r="R383" s="149" t="str">
        <f t="shared" si="28"/>
        <v>472A</v>
      </c>
      <c r="S383" s="150" t="str">
        <f t="shared" si="29"/>
        <v>_</v>
      </c>
      <c r="T383" s="152" t="str">
        <f>+VLOOKUP($L383,Data_Validation!$A:$D,1,0)</f>
        <v>672H</v>
      </c>
      <c r="U383" s="152" t="str">
        <f>+VLOOKUP($L383,Data_Validation!$A:$D,3,0)</f>
        <v>pièces</v>
      </c>
      <c r="V383" s="152" t="str">
        <f>+VLOOKUP($L383,Data_Validation!$A:$D,4,0)</f>
        <v>P/A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1754</v>
      </c>
      <c r="B384" s="718" t="s">
        <v>1755</v>
      </c>
      <c r="C384" s="720">
        <v>12701.7</v>
      </c>
      <c r="D384" s="720">
        <v>9307.39</v>
      </c>
      <c r="E384" s="720">
        <v>22009.09</v>
      </c>
      <c r="F384" s="718" t="s">
        <v>2015</v>
      </c>
      <c r="G384" s="718" t="s">
        <v>1132</v>
      </c>
      <c r="H384" s="607" t="s">
        <v>2971</v>
      </c>
      <c r="I384" s="153"/>
      <c r="J384" s="153"/>
      <c r="K384" s="153"/>
      <c r="L384" s="149" t="str">
        <f t="shared" si="25"/>
        <v>673A</v>
      </c>
      <c r="M384" s="150" t="str">
        <f t="shared" si="26"/>
        <v>C/V - PIECES INTERNE BMW AUTO</v>
      </c>
      <c r="N384" s="151">
        <f>+IF(OR($Q384=Parametres!$G$2,$Q384=Parametres!$G$3),I384,C384)</f>
        <v>12701.7</v>
      </c>
      <c r="O384" s="151">
        <f>+IF(OR($Q384=Parametres!$G$2,$Q384=Parametres!$G$3),J384,D384)</f>
        <v>9307.39</v>
      </c>
      <c r="P384" s="151">
        <f>+IF(OR($Q384=Parametres!$G$2,$Q384=Parametres!$G$3),K384,E384)</f>
        <v>22009.09</v>
      </c>
      <c r="Q384" s="150" t="str">
        <f t="shared" si="27"/>
        <v>6-Coût des ventes</v>
      </c>
      <c r="R384" s="149" t="str">
        <f t="shared" si="28"/>
        <v>473A</v>
      </c>
      <c r="S384" s="150" t="str">
        <f t="shared" si="29"/>
        <v>_</v>
      </c>
      <c r="T384" s="152" t="str">
        <f>+VLOOKUP($L384,Data_Validation!$A:$D,1,0)</f>
        <v>673A</v>
      </c>
      <c r="U384" s="152" t="str">
        <f>+VLOOKUP($L384,Data_Validation!$A:$D,3,0)</f>
        <v>pièces</v>
      </c>
      <c r="V384" s="152" t="str">
        <f>+VLOOKUP($L384,Data_Validation!$A:$D,4,0)</f>
        <v>Ventes Internes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1798</v>
      </c>
      <c r="B385" s="671" t="s">
        <v>909</v>
      </c>
      <c r="C385" s="672">
        <v>12113.94</v>
      </c>
      <c r="D385" s="672">
        <v>3074.28</v>
      </c>
      <c r="E385" s="672">
        <v>15188.22</v>
      </c>
      <c r="F385" s="671" t="s">
        <v>2015</v>
      </c>
      <c r="G385" s="671" t="s">
        <v>1132</v>
      </c>
      <c r="H385" s="666" t="s">
        <v>2971</v>
      </c>
      <c r="I385" s="665"/>
      <c r="J385" s="665"/>
      <c r="K385" s="665"/>
      <c r="L385" s="149" t="str">
        <f t="shared" si="25"/>
        <v>673B</v>
      </c>
      <c r="M385" s="150" t="str">
        <f t="shared" si="26"/>
        <v>C/V - PIECES INTERNE BMW CAMION</v>
      </c>
      <c r="N385" s="151">
        <f>+IF(OR($Q385=Parametres!$G$2,$Q385=Parametres!$G$3),I385,C385)</f>
        <v>12113.94</v>
      </c>
      <c r="O385" s="151">
        <f>+IF(OR($Q385=Parametres!$G$2,$Q385=Parametres!$G$3),J385,D385)</f>
        <v>3074.28</v>
      </c>
      <c r="P385" s="151">
        <f>+IF(OR($Q385=Parametres!$G$2,$Q385=Parametres!$G$3),K385,E385)</f>
        <v>15188.22</v>
      </c>
      <c r="Q385" s="150" t="str">
        <f t="shared" si="27"/>
        <v>6-Coût des ventes</v>
      </c>
      <c r="R385" s="149" t="str">
        <f t="shared" si="28"/>
        <v>473A</v>
      </c>
      <c r="S385" s="150" t="str">
        <f t="shared" si="29"/>
        <v>_</v>
      </c>
      <c r="T385" s="152" t="str">
        <f>+VLOOKUP($L385,Data_Validation!$A:$D,1,0)</f>
        <v>673B</v>
      </c>
      <c r="U385" s="152" t="str">
        <f>+VLOOKUP($L385,Data_Validation!$A:$D,3,0)</f>
        <v>pièces</v>
      </c>
      <c r="V385" s="152" t="str">
        <f>+VLOOKUP($L385,Data_Validation!$A:$D,4,0)</f>
        <v>Ventes Internes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677</v>
      </c>
      <c r="B386" s="718" t="s">
        <v>678</v>
      </c>
      <c r="C386" s="720">
        <v>1194.95</v>
      </c>
      <c r="D386" s="720">
        <v>659.64</v>
      </c>
      <c r="E386" s="720">
        <v>1854.59</v>
      </c>
      <c r="F386" s="718" t="s">
        <v>2015</v>
      </c>
      <c r="G386" s="718" t="s">
        <v>1132</v>
      </c>
      <c r="H386" s="666" t="s">
        <v>2971</v>
      </c>
      <c r="I386" s="665"/>
      <c r="J386" s="665"/>
      <c r="K386" s="665"/>
      <c r="L386" s="149" t="str">
        <f t="shared" ref="L386:L449" si="30">+B386</f>
        <v>673D</v>
      </c>
      <c r="M386" s="150" t="str">
        <f t="shared" ref="M386:M449" si="31">+A386</f>
        <v>C/V - PIECES INTERNE BMW I</v>
      </c>
      <c r="N386" s="151">
        <f>+IF(OR($Q386=Parametres!$G$2,$Q386=Parametres!$G$3),I386,C386)</f>
        <v>1194.95</v>
      </c>
      <c r="O386" s="504">
        <f>+IF(OR($Q386=Parametres!$G$2,$Q386=Parametres!$G$3),J386,D386)</f>
        <v>659.64</v>
      </c>
      <c r="P386" s="151">
        <f>+IF(OR($Q386=Parametres!$G$2,$Q386=Parametres!$G$3),K386,E386)</f>
        <v>1854.59</v>
      </c>
      <c r="Q386" s="150" t="str">
        <f t="shared" ref="Q386:Q449" si="32">+F386</f>
        <v>6-Coût des ventes</v>
      </c>
      <c r="R386" s="149" t="str">
        <f t="shared" ref="R386:R449" si="33">+G386</f>
        <v>473A</v>
      </c>
      <c r="S386" s="150" t="str">
        <f t="shared" ref="S386:S449" si="34">+H386</f>
        <v>_</v>
      </c>
      <c r="T386" s="152" t="str">
        <f>+VLOOKUP($L386,Data_Validation!$A:$D,1,0)</f>
        <v>673D</v>
      </c>
      <c r="U386" s="152" t="str">
        <f>+VLOOKUP($L386,Data_Validation!$A:$D,3,0)</f>
        <v>pièces</v>
      </c>
      <c r="V386" s="152" t="str">
        <f>+VLOOKUP($L386,Data_Validation!$A:$D,4,0)</f>
        <v>Ventes Internes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1807</v>
      </c>
      <c r="B387" s="718" t="s">
        <v>1808</v>
      </c>
      <c r="C387" s="720">
        <v>19392.93</v>
      </c>
      <c r="D387" s="720">
        <v>9954.64</v>
      </c>
      <c r="E387" s="720">
        <v>29347.57</v>
      </c>
      <c r="F387" s="718" t="s">
        <v>2015</v>
      </c>
      <c r="G387" s="718" t="s">
        <v>1118</v>
      </c>
      <c r="H387" s="673" t="s">
        <v>2971</v>
      </c>
      <c r="I387" s="672"/>
      <c r="J387" s="672"/>
      <c r="K387" s="672"/>
      <c r="L387" s="149" t="str">
        <f t="shared" si="30"/>
        <v>674A</v>
      </c>
      <c r="M387" s="150" t="str">
        <f t="shared" si="31"/>
        <v>C/V - PIECES COMPTOIR BMW AUTO</v>
      </c>
      <c r="N387" s="151">
        <f>+IF(OR($Q387=Parametres!$G$2,$Q387=Parametres!$G$3),I387,C387)</f>
        <v>19392.93</v>
      </c>
      <c r="O387" s="151">
        <f>+IF(OR($Q387=Parametres!$G$2,$Q387=Parametres!$G$3),J387,D387)</f>
        <v>9954.64</v>
      </c>
      <c r="P387" s="151">
        <f>+IF(OR($Q387=Parametres!$G$2,$Q387=Parametres!$G$3),K387,E387)</f>
        <v>29347.57</v>
      </c>
      <c r="Q387" s="150" t="str">
        <f t="shared" si="32"/>
        <v>6-Coût des ventes</v>
      </c>
      <c r="R387" s="149" t="str">
        <f t="shared" si="33"/>
        <v>474A</v>
      </c>
      <c r="S387" s="150" t="str">
        <f t="shared" si="34"/>
        <v>_</v>
      </c>
      <c r="T387" s="152" t="str">
        <f>+VLOOKUP($L387,Data_Validation!$A:$D,1,0)</f>
        <v>674A</v>
      </c>
      <c r="U387" s="152" t="str">
        <f>+VLOOKUP($L387,Data_Validation!$A:$D,3,0)</f>
        <v>pièces</v>
      </c>
      <c r="V387" s="152" t="str">
        <f>+VLOOKUP($L387,Data_Validation!$A:$D,4,0)</f>
        <v>Ventes Détails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1699</v>
      </c>
      <c r="B388" s="718" t="s">
        <v>874</v>
      </c>
      <c r="C388" s="720">
        <v>662.67</v>
      </c>
      <c r="D388" s="720">
        <v>1883.35</v>
      </c>
      <c r="E388" s="720">
        <v>2546.02</v>
      </c>
      <c r="F388" s="718" t="s">
        <v>2015</v>
      </c>
      <c r="G388" s="718" t="s">
        <v>1118</v>
      </c>
      <c r="H388" s="673" t="s">
        <v>2971</v>
      </c>
      <c r="I388" s="672"/>
      <c r="J388" s="672"/>
      <c r="K388" s="672"/>
      <c r="L388" s="149" t="str">
        <f t="shared" si="30"/>
        <v>674D</v>
      </c>
      <c r="M388" s="150" t="str">
        <f t="shared" si="31"/>
        <v>C/V - PIECES COMP. BMW LIFESTYLE</v>
      </c>
      <c r="N388" s="151">
        <f>+IF(OR($Q388=Parametres!$G$2,$Q388=Parametres!$G$3),I388,C388)</f>
        <v>662.67</v>
      </c>
      <c r="O388" s="151">
        <f>+IF(OR($Q388=Parametres!$G$2,$Q388=Parametres!$G$3),J388,D388)</f>
        <v>1883.35</v>
      </c>
      <c r="P388" s="151">
        <f>+IF(OR($Q388=Parametres!$G$2,$Q388=Parametres!$G$3),K388,E388)</f>
        <v>2546.02</v>
      </c>
      <c r="Q388" s="150" t="str">
        <f t="shared" si="32"/>
        <v>6-Coût des ventes</v>
      </c>
      <c r="R388" s="149" t="str">
        <f t="shared" si="33"/>
        <v>474A</v>
      </c>
      <c r="S388" s="150" t="str">
        <f t="shared" si="34"/>
        <v>_</v>
      </c>
      <c r="T388" s="152" t="str">
        <f>+VLOOKUP($L388,Data_Validation!$A:$D,1,0)</f>
        <v>674D</v>
      </c>
      <c r="U388" s="152" t="str">
        <f>+VLOOKUP($L388,Data_Validation!$A:$D,3,0)</f>
        <v>pièces</v>
      </c>
      <c r="V388" s="152" t="str">
        <f>+VLOOKUP($L388,Data_Validation!$A:$D,4,0)</f>
        <v>Ventes Détails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1800</v>
      </c>
      <c r="B389" s="718" t="s">
        <v>969</v>
      </c>
      <c r="C389" s="720">
        <v>6641.8</v>
      </c>
      <c r="D389" s="720">
        <v>334.77</v>
      </c>
      <c r="E389" s="720">
        <v>6976.57</v>
      </c>
      <c r="F389" s="718" t="s">
        <v>2015</v>
      </c>
      <c r="G389" s="718" t="s">
        <v>1118</v>
      </c>
      <c r="H389" s="673" t="s">
        <v>2971</v>
      </c>
      <c r="I389" s="673"/>
      <c r="J389" s="673"/>
      <c r="K389" s="673"/>
      <c r="L389" s="149" t="str">
        <f t="shared" si="30"/>
        <v>674E</v>
      </c>
      <c r="M389" s="150" t="str">
        <f t="shared" si="31"/>
        <v>C/V - PIECES COMP. BMW ACCESSOIRE</v>
      </c>
      <c r="N389" s="151">
        <f>+IF(OR($Q389=Parametres!$G$2,$Q389=Parametres!$G$3),I389,C389)</f>
        <v>6641.8</v>
      </c>
      <c r="O389" s="151">
        <f>+IF(OR($Q389=Parametres!$G$2,$Q389=Parametres!$G$3),J389,D389)</f>
        <v>334.77</v>
      </c>
      <c r="P389" s="151">
        <f>+IF(OR($Q389=Parametres!$G$2,$Q389=Parametres!$G$3),K389,E389)</f>
        <v>6976.57</v>
      </c>
      <c r="Q389" s="150" t="str">
        <f t="shared" si="32"/>
        <v>6-Coût des ventes</v>
      </c>
      <c r="R389" s="149" t="str">
        <f t="shared" si="33"/>
        <v>474A</v>
      </c>
      <c r="S389" s="150" t="str">
        <f t="shared" si="34"/>
        <v>_</v>
      </c>
      <c r="T389" s="152" t="str">
        <f>+VLOOKUP($L389,Data_Validation!$A:$D,1,0)</f>
        <v>674E</v>
      </c>
      <c r="U389" s="152" t="str">
        <f>+VLOOKUP($L389,Data_Validation!$A:$D,3,0)</f>
        <v>pièces</v>
      </c>
      <c r="V389" s="152" t="str">
        <f>+VLOOKUP($L389,Data_Validation!$A:$D,4,0)</f>
        <v>Ventes Détails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1680</v>
      </c>
      <c r="B390" s="718" t="s">
        <v>1681</v>
      </c>
      <c r="C390" s="720">
        <v>119781.14</v>
      </c>
      <c r="D390" s="720">
        <v>56135.46</v>
      </c>
      <c r="E390" s="720">
        <v>175916.6</v>
      </c>
      <c r="F390" s="718" t="s">
        <v>2015</v>
      </c>
      <c r="G390" s="718" t="s">
        <v>1167</v>
      </c>
      <c r="H390" s="673" t="s">
        <v>2971</v>
      </c>
      <c r="I390" s="672"/>
      <c r="J390" s="672"/>
      <c r="K390" s="672"/>
      <c r="L390" s="149" t="str">
        <f t="shared" si="30"/>
        <v>675A</v>
      </c>
      <c r="M390" s="150" t="str">
        <f t="shared" si="31"/>
        <v>C/V - PIECES GROS BMW AUTO</v>
      </c>
      <c r="N390" s="151">
        <f>+IF(OR($Q390=Parametres!$G$2,$Q390=Parametres!$G$3),I390,C390)</f>
        <v>119781.14</v>
      </c>
      <c r="O390" s="151">
        <f>+IF(OR($Q390=Parametres!$G$2,$Q390=Parametres!$G$3),J390,D390)</f>
        <v>56135.46</v>
      </c>
      <c r="P390" s="151">
        <f>+IF(OR($Q390=Parametres!$G$2,$Q390=Parametres!$G$3),K390,E390)</f>
        <v>175916.6</v>
      </c>
      <c r="Q390" s="150" t="str">
        <f t="shared" si="32"/>
        <v>6-Coût des ventes</v>
      </c>
      <c r="R390" s="149" t="str">
        <f t="shared" si="33"/>
        <v>475A</v>
      </c>
      <c r="S390" s="150" t="str">
        <f t="shared" si="34"/>
        <v>_</v>
      </c>
      <c r="T390" s="152" t="str">
        <f>+VLOOKUP($L390,Data_Validation!$A:$D,1,0)</f>
        <v>675A</v>
      </c>
      <c r="U390" s="152" t="str">
        <f>+VLOOKUP($L390,Data_Validation!$A:$D,3,0)</f>
        <v>pièces</v>
      </c>
      <c r="V390" s="152" t="str">
        <f>+VLOOKUP($L390,Data_Validation!$A:$D,4,0)</f>
        <v>Ventes de Gros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2851</v>
      </c>
      <c r="B391" s="718" t="s">
        <v>2843</v>
      </c>
      <c r="C391" s="720">
        <v>4305.3900000000003</v>
      </c>
      <c r="D391" s="720">
        <v>2579.5300000000002</v>
      </c>
      <c r="E391" s="720">
        <v>6884.92</v>
      </c>
      <c r="F391" s="718" t="s">
        <v>2015</v>
      </c>
      <c r="G391" s="718" t="s">
        <v>2975</v>
      </c>
      <c r="H391" s="673" t="s">
        <v>2971</v>
      </c>
      <c r="I391" s="672"/>
      <c r="J391" s="672"/>
      <c r="K391" s="672"/>
      <c r="L391" s="149" t="str">
        <f t="shared" si="30"/>
        <v>675L</v>
      </c>
      <c r="M391" s="150" t="str">
        <f t="shared" si="31"/>
        <v>C/V - RISTOURNES VENTES WHOLESALES</v>
      </c>
      <c r="N391" s="151">
        <f>+IF(OR($Q391=Parametres!$G$2,$Q391=Parametres!$G$3),I391,C391)</f>
        <v>4305.3900000000003</v>
      </c>
      <c r="O391" s="151">
        <f>+IF(OR($Q391=Parametres!$G$2,$Q391=Parametres!$G$3),J391,D391)</f>
        <v>2579.5300000000002</v>
      </c>
      <c r="P391" s="151">
        <f>+IF(OR($Q391=Parametres!$G$2,$Q391=Parametres!$G$3),K391,E391)</f>
        <v>6884.92</v>
      </c>
      <c r="Q391" s="150" t="str">
        <f t="shared" si="32"/>
        <v>6-Coût des ventes</v>
      </c>
      <c r="R391" s="149" t="str">
        <f t="shared" si="33"/>
        <v>675</v>
      </c>
      <c r="S391" s="150" t="str">
        <f t="shared" si="34"/>
        <v>_</v>
      </c>
      <c r="T391" s="152" t="str">
        <f>+VLOOKUP($L391,Data_Validation!$A:$D,1,0)</f>
        <v>675L</v>
      </c>
      <c r="U391" s="152" t="str">
        <f>+VLOOKUP($L391,Data_Validation!$A:$D,3,0)</f>
        <v>Pièces</v>
      </c>
      <c r="V391" s="152" t="str">
        <f>+VLOOKUP($L391,Data_Validation!$A:$D,4,0)</f>
        <v>Ventes de Gros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1204</v>
      </c>
      <c r="B392" s="718" t="s">
        <v>1205</v>
      </c>
      <c r="C392" s="720">
        <v>-27235.1</v>
      </c>
      <c r="D392" s="720">
        <v>-20142.95</v>
      </c>
      <c r="E392" s="720">
        <v>-47378.05</v>
      </c>
      <c r="F392" s="718" t="s">
        <v>2015</v>
      </c>
      <c r="G392" s="718" t="s">
        <v>2253</v>
      </c>
      <c r="H392" s="673" t="s">
        <v>2971</v>
      </c>
      <c r="I392" s="672"/>
      <c r="J392" s="672"/>
      <c r="K392" s="672"/>
      <c r="L392" s="149" t="str">
        <f t="shared" si="30"/>
        <v>677A</v>
      </c>
      <c r="M392" s="150" t="str">
        <f t="shared" si="31"/>
        <v>C/V - RABAIS ACHAT VOLUME BMW AUTO</v>
      </c>
      <c r="N392" s="151">
        <f>+IF(OR($Q392=Parametres!$G$2,$Q392=Parametres!$G$3),I392,C392)</f>
        <v>-27235.1</v>
      </c>
      <c r="O392" s="151">
        <f>+IF(OR($Q392=Parametres!$G$2,$Q392=Parametres!$G$3),J392,D392)</f>
        <v>-20142.95</v>
      </c>
      <c r="P392" s="151">
        <f>+IF(OR($Q392=Parametres!$G$2,$Q392=Parametres!$G$3),K392,E392)</f>
        <v>-47378.05</v>
      </c>
      <c r="Q392" s="150" t="str">
        <f t="shared" si="32"/>
        <v>6-Coût des ventes</v>
      </c>
      <c r="R392" s="149" t="str">
        <f t="shared" si="33"/>
        <v>477</v>
      </c>
      <c r="S392" s="150" t="str">
        <f t="shared" si="34"/>
        <v>_</v>
      </c>
      <c r="T392" s="152" t="str">
        <f>+VLOOKUP($L392,Data_Validation!$A:$D,1,0)</f>
        <v>677A</v>
      </c>
      <c r="U392" s="152" t="str">
        <f>+VLOOKUP($L392,Data_Validation!$A:$D,3,0)</f>
        <v>pièces</v>
      </c>
      <c r="V392" s="152" t="str">
        <f>+VLOOKUP($L392,Data_Validation!$A:$D,4,0)</f>
        <v>Escomptes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970</v>
      </c>
      <c r="B393" s="718" t="s">
        <v>972</v>
      </c>
      <c r="C393" s="720">
        <v>110347.8</v>
      </c>
      <c r="D393" s="720">
        <v>94722.89</v>
      </c>
      <c r="E393" s="720">
        <v>205070.69</v>
      </c>
      <c r="F393" s="718" t="s">
        <v>2015</v>
      </c>
      <c r="G393" s="718" t="s">
        <v>417</v>
      </c>
      <c r="H393" s="673" t="s">
        <v>2971</v>
      </c>
      <c r="I393" s="673"/>
      <c r="J393" s="673"/>
      <c r="K393" s="673"/>
      <c r="L393" s="149" t="str">
        <f t="shared" si="30"/>
        <v>688A</v>
      </c>
      <c r="M393" s="150" t="str">
        <f t="shared" si="31"/>
        <v>C/V - PNEUS</v>
      </c>
      <c r="N393" s="151">
        <f>+IF(OR($Q393=Parametres!$G$2,$Q393=Parametres!$G$3),I393,C393)</f>
        <v>110347.8</v>
      </c>
      <c r="O393" s="151">
        <f>+IF(OR($Q393=Parametres!$G$2,$Q393=Parametres!$G$3),J393,D393)</f>
        <v>94722.89</v>
      </c>
      <c r="P393" s="151">
        <f>+IF(OR($Q393=Parametres!$G$2,$Q393=Parametres!$G$3),K393,E393)</f>
        <v>205070.69</v>
      </c>
      <c r="Q393" s="150" t="str">
        <f t="shared" si="32"/>
        <v>6-Coût des ventes</v>
      </c>
      <c r="R393" s="149" t="str">
        <f t="shared" si="33"/>
        <v>488A</v>
      </c>
      <c r="S393" s="150" t="str">
        <f t="shared" si="34"/>
        <v>_</v>
      </c>
      <c r="T393" s="152" t="str">
        <f>+VLOOKUP($L393,Data_Validation!$A:$D,1,0)</f>
        <v>688A</v>
      </c>
      <c r="U393" s="152" t="str">
        <f>+VLOOKUP($L393,Data_Validation!$A:$D,3,0)</f>
        <v>pièces</v>
      </c>
      <c r="V393" s="152" t="str">
        <f>+VLOOKUP($L393,Data_Validation!$A:$D,4,0)</f>
        <v>Ventes Pneus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1763</v>
      </c>
      <c r="B394" s="718" t="s">
        <v>927</v>
      </c>
      <c r="C394" s="720">
        <v>6326.13</v>
      </c>
      <c r="D394" s="720">
        <v>3732.47</v>
      </c>
      <c r="E394" s="720">
        <v>10058.6</v>
      </c>
      <c r="F394" s="718" t="s">
        <v>2015</v>
      </c>
      <c r="G394" s="718" t="s">
        <v>445</v>
      </c>
      <c r="H394" s="673" t="s">
        <v>2971</v>
      </c>
      <c r="I394" s="672"/>
      <c r="J394" s="672"/>
      <c r="K394" s="672"/>
      <c r="L394" s="149" t="str">
        <f t="shared" si="30"/>
        <v>689A</v>
      </c>
      <c r="M394" s="150" t="str">
        <f t="shared" si="31"/>
        <v>C/V - HUILES &amp; GRAISSES</v>
      </c>
      <c r="N394" s="151">
        <f>+IF(OR($Q394=Parametres!$G$2,$Q394=Parametres!$G$3),I394,C394)</f>
        <v>6326.13</v>
      </c>
      <c r="O394" s="151">
        <f>+IF(OR($Q394=Parametres!$G$2,$Q394=Parametres!$G$3),J394,D394)</f>
        <v>3732.47</v>
      </c>
      <c r="P394" s="151">
        <f>+IF(OR($Q394=Parametres!$G$2,$Q394=Parametres!$G$3),K394,E394)</f>
        <v>10058.6</v>
      </c>
      <c r="Q394" s="150" t="str">
        <f t="shared" si="32"/>
        <v>6-Coût des ventes</v>
      </c>
      <c r="R394" s="149" t="str">
        <f t="shared" si="33"/>
        <v>489A</v>
      </c>
      <c r="S394" s="150" t="str">
        <f t="shared" si="34"/>
        <v>_</v>
      </c>
      <c r="T394" s="152" t="str">
        <f>+VLOOKUP($L394,Data_Validation!$A:$D,1,0)</f>
        <v>689A</v>
      </c>
      <c r="U394" s="152" t="str">
        <f>+VLOOKUP($L394,Data_Validation!$A:$D,3,0)</f>
        <v>pièces</v>
      </c>
      <c r="V394" s="152" t="str">
        <f>+VLOOKUP($L394,Data_Validation!$A:$D,4,0)</f>
        <v>Huiles et Graisse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1751</v>
      </c>
      <c r="B395" s="671" t="s">
        <v>1752</v>
      </c>
      <c r="C395" s="672">
        <v>9671.39</v>
      </c>
      <c r="D395" s="672">
        <v>4263.2700000000004</v>
      </c>
      <c r="E395" s="672">
        <v>13934.66</v>
      </c>
      <c r="F395" s="671" t="s">
        <v>2015</v>
      </c>
      <c r="G395" s="671" t="s">
        <v>445</v>
      </c>
      <c r="H395" s="666" t="s">
        <v>2971</v>
      </c>
      <c r="I395" s="665"/>
      <c r="J395" s="665"/>
      <c r="K395" s="665"/>
      <c r="L395" s="149" t="str">
        <f t="shared" si="30"/>
        <v>689B</v>
      </c>
      <c r="M395" s="150" t="str">
        <f t="shared" si="31"/>
        <v>C/V - HUILE &amp; GRAISSE</v>
      </c>
      <c r="N395" s="151">
        <f>+IF(OR($Q395=Parametres!$G$2,$Q395=Parametres!$G$3),I395,C395)</f>
        <v>9671.39</v>
      </c>
      <c r="O395" s="151">
        <f>+IF(OR($Q395=Parametres!$G$2,$Q395=Parametres!$G$3),J395,D395)</f>
        <v>4263.2700000000004</v>
      </c>
      <c r="P395" s="151">
        <f>+IF(OR($Q395=Parametres!$G$2,$Q395=Parametres!$G$3),K395,E395)</f>
        <v>13934.66</v>
      </c>
      <c r="Q395" s="150" t="str">
        <f t="shared" si="32"/>
        <v>6-Coût des ventes</v>
      </c>
      <c r="R395" s="149" t="str">
        <f t="shared" si="33"/>
        <v>489A</v>
      </c>
      <c r="S395" s="150" t="str">
        <f t="shared" si="34"/>
        <v>_</v>
      </c>
      <c r="T395" s="152" t="str">
        <f>+VLOOKUP($L395,Data_Validation!$A:$D,1,0)</f>
        <v>689B</v>
      </c>
      <c r="U395" s="152" t="str">
        <f>+VLOOKUP($L395,Data_Validation!$A:$D,3,0)</f>
        <v>pièces</v>
      </c>
      <c r="V395" s="152" t="str">
        <f>+VLOOKUP($L395,Data_Validation!$A:$D,4,0)</f>
        <v>Huiles et Graisse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1820</v>
      </c>
      <c r="B396" s="718" t="s">
        <v>963</v>
      </c>
      <c r="C396" s="719">
        <v>50849.64</v>
      </c>
      <c r="D396" s="719">
        <v>31545.82</v>
      </c>
      <c r="E396" s="719">
        <v>82395.460000000006</v>
      </c>
      <c r="F396" s="718" t="s">
        <v>2229</v>
      </c>
      <c r="G396" s="718" t="s">
        <v>2298</v>
      </c>
      <c r="H396" s="719" t="s">
        <v>2971</v>
      </c>
      <c r="I396" s="720"/>
      <c r="J396" s="720"/>
      <c r="K396" s="720"/>
      <c r="L396" s="149" t="str">
        <f t="shared" si="30"/>
        <v>11A</v>
      </c>
      <c r="M396" s="150" t="str">
        <f t="shared" si="31"/>
        <v>COMM. VENDEURS - NEUF BMW</v>
      </c>
      <c r="N396" s="151">
        <f>+IF(OR($Q396=Parametres!$G$2,$Q396=Parametres!$G$3),I396,C396)</f>
        <v>50849.64</v>
      </c>
      <c r="O396" s="151">
        <f>+IF(OR($Q396=Parametres!$G$2,$Q396=Parametres!$G$3),J396,D396)</f>
        <v>31545.82</v>
      </c>
      <c r="P396" s="151">
        <f>+IF(OR($Q396=Parametres!$G$2,$Q396=Parametres!$G$3),K396,E396)</f>
        <v>82395.460000000006</v>
      </c>
      <c r="Q396" s="150" t="str">
        <f t="shared" si="32"/>
        <v>7-Dépenses</v>
      </c>
      <c r="R396" s="149" t="str">
        <f t="shared" si="33"/>
        <v>11</v>
      </c>
      <c r="S396" s="150" t="str">
        <f t="shared" si="34"/>
        <v>_</v>
      </c>
      <c r="T396" s="152" t="str">
        <f>+VLOOKUP($L396,Data_Validation!$A:$D,1,0)</f>
        <v>11A</v>
      </c>
      <c r="U396" s="152" t="str">
        <f>+VLOOKUP($L396,Data_Validation!$A:$D,3,0)</f>
        <v>Véhicules neufs</v>
      </c>
      <c r="V396" s="152" t="str">
        <f>+VLOOKUP($L396,Data_Validation!$A:$D,4,0)</f>
        <v>Comm. vendeurs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1787</v>
      </c>
      <c r="B397" s="671" t="s">
        <v>939</v>
      </c>
      <c r="C397" s="672">
        <v>27308.04</v>
      </c>
      <c r="D397" s="672">
        <v>14689.49</v>
      </c>
      <c r="E397" s="672">
        <v>41997.53</v>
      </c>
      <c r="F397" s="671" t="s">
        <v>2229</v>
      </c>
      <c r="G397" s="671" t="s">
        <v>2298</v>
      </c>
      <c r="H397" s="666" t="s">
        <v>2971</v>
      </c>
      <c r="I397" s="665"/>
      <c r="J397" s="665"/>
      <c r="K397" s="665"/>
      <c r="L397" s="149" t="str">
        <f t="shared" si="30"/>
        <v>11C</v>
      </c>
      <c r="M397" s="150" t="str">
        <f t="shared" si="31"/>
        <v>COMM. VENDEURS - USAGE BMW</v>
      </c>
      <c r="N397" s="151">
        <f>+IF(OR($Q397=Parametres!$G$2,$Q397=Parametres!$G$3),I397,C397)</f>
        <v>27308.04</v>
      </c>
      <c r="O397" s="151">
        <f>+IF(OR($Q397=Parametres!$G$2,$Q397=Parametres!$G$3),J397,D397)</f>
        <v>14689.49</v>
      </c>
      <c r="P397" s="151">
        <f>+IF(OR($Q397=Parametres!$G$2,$Q397=Parametres!$G$3),K397,E397)</f>
        <v>41997.53</v>
      </c>
      <c r="Q397" s="150" t="str">
        <f t="shared" si="32"/>
        <v>7-Dépenses</v>
      </c>
      <c r="R397" s="149" t="str">
        <f t="shared" si="33"/>
        <v>11</v>
      </c>
      <c r="S397" s="150" t="str">
        <f t="shared" si="34"/>
        <v>_</v>
      </c>
      <c r="T397" s="152" t="str">
        <f>+VLOOKUP($L397,Data_Validation!$A:$D,1,0)</f>
        <v>11C</v>
      </c>
      <c r="U397" s="152" t="str">
        <f>+VLOOKUP($L397,Data_Validation!$A:$D,3,0)</f>
        <v>Véhicules usagés</v>
      </c>
      <c r="V397" s="152" t="str">
        <f>+VLOOKUP($L397,Data_Validation!$A:$D,4,0)</f>
        <v>Comm. vendeurs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1778</v>
      </c>
      <c r="B398" s="718" t="s">
        <v>932</v>
      </c>
      <c r="C398" s="720">
        <v>16105.21</v>
      </c>
      <c r="D398" s="720">
        <v>25415.53</v>
      </c>
      <c r="E398" s="720">
        <v>41520.74</v>
      </c>
      <c r="F398" s="718" t="s">
        <v>2229</v>
      </c>
      <c r="G398" s="718" t="s">
        <v>2297</v>
      </c>
      <c r="H398" s="673" t="s">
        <v>2971</v>
      </c>
      <c r="I398" s="672"/>
      <c r="J398" s="672"/>
      <c r="K398" s="672"/>
      <c r="L398" s="149" t="str">
        <f t="shared" si="30"/>
        <v>12A</v>
      </c>
      <c r="M398" s="150" t="str">
        <f t="shared" si="31"/>
        <v>COMM. F&amp;I - NEUF BMW</v>
      </c>
      <c r="N398" s="151">
        <f>+IF(OR($Q398=Parametres!$G$2,$Q398=Parametres!$G$3),I398,C398)</f>
        <v>16105.21</v>
      </c>
      <c r="O398" s="151">
        <f>+IF(OR($Q398=Parametres!$G$2,$Q398=Parametres!$G$3),J398,D398)</f>
        <v>25415.53</v>
      </c>
      <c r="P398" s="151">
        <f>+IF(OR($Q398=Parametres!$G$2,$Q398=Parametres!$G$3),K398,E398)</f>
        <v>41520.74</v>
      </c>
      <c r="Q398" s="150" t="str">
        <f t="shared" si="32"/>
        <v>7-Dépenses</v>
      </c>
      <c r="R398" s="149" t="str">
        <f t="shared" si="33"/>
        <v>12</v>
      </c>
      <c r="S398" s="150" t="str">
        <f t="shared" si="34"/>
        <v>_</v>
      </c>
      <c r="T398" s="152" t="str">
        <f>+VLOOKUP($L398,Data_Validation!$A:$D,1,0)</f>
        <v>12A</v>
      </c>
      <c r="U398" s="152" t="str">
        <f>+VLOOKUP($L398,Data_Validation!$A:$D,3,0)</f>
        <v>Véhicules neufs</v>
      </c>
      <c r="V398" s="152" t="str">
        <f>+VLOOKUP($L398,Data_Validation!$A:$D,4,0)</f>
        <v>Comm. F&amp;I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1753</v>
      </c>
      <c r="B399" s="718" t="s">
        <v>943</v>
      </c>
      <c r="C399" s="720">
        <v>11096.6</v>
      </c>
      <c r="D399" s="720">
        <v>13425.45</v>
      </c>
      <c r="E399" s="720">
        <v>24522.05</v>
      </c>
      <c r="F399" s="718" t="s">
        <v>2229</v>
      </c>
      <c r="G399" s="718" t="s">
        <v>2297</v>
      </c>
      <c r="H399" s="673" t="s">
        <v>2971</v>
      </c>
      <c r="I399" s="672"/>
      <c r="J399" s="672"/>
      <c r="K399" s="672"/>
      <c r="L399" s="149" t="str">
        <f t="shared" si="30"/>
        <v>12C</v>
      </c>
      <c r="M399" s="150" t="str">
        <f t="shared" si="31"/>
        <v>COMM. F&amp;I - USAGE BMW</v>
      </c>
      <c r="N399" s="151">
        <f>+IF(OR($Q399=Parametres!$G$2,$Q399=Parametres!$G$3),I399,C399)</f>
        <v>11096.6</v>
      </c>
      <c r="O399" s="151">
        <f>+IF(OR($Q399=Parametres!$G$2,$Q399=Parametres!$G$3),J399,D399)</f>
        <v>13425.45</v>
      </c>
      <c r="P399" s="151">
        <f>+IF(OR($Q399=Parametres!$G$2,$Q399=Parametres!$G$3),K399,E399)</f>
        <v>24522.05</v>
      </c>
      <c r="Q399" s="150" t="str">
        <f t="shared" si="32"/>
        <v>7-Dépenses</v>
      </c>
      <c r="R399" s="149" t="str">
        <f t="shared" si="33"/>
        <v>12</v>
      </c>
      <c r="S399" s="150" t="str">
        <f t="shared" si="34"/>
        <v>_</v>
      </c>
      <c r="T399" s="152" t="str">
        <f>+VLOOKUP($L399,Data_Validation!$A:$D,1,0)</f>
        <v>12C</v>
      </c>
      <c r="U399" s="152" t="str">
        <f>+VLOOKUP($L399,Data_Validation!$A:$D,3,0)</f>
        <v>Véhicules usagés</v>
      </c>
      <c r="V399" s="152" t="str">
        <f>+VLOOKUP($L399,Data_Validation!$A:$D,4,0)</f>
        <v>Comm. F&amp;I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1741</v>
      </c>
      <c r="B400" s="718" t="s">
        <v>875</v>
      </c>
      <c r="C400" s="720">
        <v>2722.29</v>
      </c>
      <c r="D400" s="720">
        <v>3838.58</v>
      </c>
      <c r="E400" s="720">
        <v>6560.87</v>
      </c>
      <c r="F400" s="718" t="s">
        <v>2229</v>
      </c>
      <c r="G400" s="718" t="s">
        <v>2292</v>
      </c>
      <c r="H400" s="673" t="s">
        <v>2971</v>
      </c>
      <c r="I400" s="672"/>
      <c r="J400" s="672"/>
      <c r="K400" s="672"/>
      <c r="L400" s="149" t="str">
        <f t="shared" si="30"/>
        <v>13A</v>
      </c>
      <c r="M400" s="150" t="str">
        <f t="shared" si="31"/>
        <v>FRAIS LIVRAISON - NEUF BMW</v>
      </c>
      <c r="N400" s="151">
        <f>+IF(OR($Q400=Parametres!$G$2,$Q400=Parametres!$G$3),I400,C400)</f>
        <v>2722.29</v>
      </c>
      <c r="O400" s="151">
        <f>+IF(OR($Q400=Parametres!$G$2,$Q400=Parametres!$G$3),J400,D400)</f>
        <v>3838.58</v>
      </c>
      <c r="P400" s="151">
        <f>+IF(OR($Q400=Parametres!$G$2,$Q400=Parametres!$G$3),K400,E400)</f>
        <v>6560.87</v>
      </c>
      <c r="Q400" s="150" t="str">
        <f t="shared" si="32"/>
        <v>7-Dépenses</v>
      </c>
      <c r="R400" s="149" t="str">
        <f t="shared" si="33"/>
        <v>13</v>
      </c>
      <c r="S400" s="150" t="str">
        <f t="shared" si="34"/>
        <v>_</v>
      </c>
      <c r="T400" s="152" t="str">
        <f>+VLOOKUP($L400,Data_Validation!$A:$D,1,0)</f>
        <v>13A</v>
      </c>
      <c r="U400" s="152" t="str">
        <f>+VLOOKUP($L400,Data_Validation!$A:$D,3,0)</f>
        <v>Véhicules neufs</v>
      </c>
      <c r="V400" s="152" t="str">
        <f>+VLOOKUP($L400,Data_Validation!$A:$D,4,0)</f>
        <v>Frais de livraison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1673</v>
      </c>
      <c r="B401" s="718" t="s">
        <v>857</v>
      </c>
      <c r="C401" s="720">
        <v>3164.06</v>
      </c>
      <c r="D401" s="720">
        <v>1780.86</v>
      </c>
      <c r="E401" s="720">
        <v>4944.92</v>
      </c>
      <c r="F401" s="718" t="s">
        <v>2229</v>
      </c>
      <c r="G401" s="718" t="s">
        <v>2292</v>
      </c>
      <c r="H401" s="673" t="s">
        <v>2971</v>
      </c>
      <c r="I401" s="672"/>
      <c r="J401" s="672"/>
      <c r="K401" s="672"/>
      <c r="L401" s="149" t="str">
        <f t="shared" si="30"/>
        <v>13C</v>
      </c>
      <c r="M401" s="150" t="str">
        <f t="shared" si="31"/>
        <v>FRAIS LIVRAISON - USAGE BMW</v>
      </c>
      <c r="N401" s="151">
        <f>+IF(OR($Q401=Parametres!$G$2,$Q401=Parametres!$G$3),I401,C401)</f>
        <v>3164.06</v>
      </c>
      <c r="O401" s="151">
        <f>+IF(OR($Q401=Parametres!$G$2,$Q401=Parametres!$G$3),J401,D401)</f>
        <v>1780.86</v>
      </c>
      <c r="P401" s="151">
        <f>+IF(OR($Q401=Parametres!$G$2,$Q401=Parametres!$G$3),K401,E401)</f>
        <v>4944.92</v>
      </c>
      <c r="Q401" s="150" t="str">
        <f t="shared" si="32"/>
        <v>7-Dépenses</v>
      </c>
      <c r="R401" s="149" t="str">
        <f t="shared" si="33"/>
        <v>13</v>
      </c>
      <c r="S401" s="150" t="str">
        <f t="shared" si="34"/>
        <v>_</v>
      </c>
      <c r="T401" s="152" t="str">
        <f>+VLOOKUP($L401,Data_Validation!$A:$D,1,0)</f>
        <v>13C</v>
      </c>
      <c r="U401" s="152" t="str">
        <f>+VLOOKUP($L401,Data_Validation!$A:$D,3,0)</f>
        <v>Véhicules usagés</v>
      </c>
      <c r="V401" s="152" t="str">
        <f>+VLOOKUP($L401,Data_Validation!$A:$D,4,0)</f>
        <v>Frais de livraison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389</v>
      </c>
      <c r="B402" s="671" t="s">
        <v>890</v>
      </c>
      <c r="C402" s="672">
        <v>4842.41</v>
      </c>
      <c r="D402" s="672">
        <v>1079.49</v>
      </c>
      <c r="E402" s="672">
        <v>5921.9</v>
      </c>
      <c r="F402" s="671" t="s">
        <v>2229</v>
      </c>
      <c r="G402" s="671" t="s">
        <v>2294</v>
      </c>
      <c r="H402" s="666" t="s">
        <v>2971</v>
      </c>
      <c r="I402" s="665"/>
      <c r="J402" s="665"/>
      <c r="K402" s="665"/>
      <c r="L402" s="149" t="str">
        <f t="shared" si="30"/>
        <v>14A</v>
      </c>
      <c r="M402" s="150" t="str">
        <f t="shared" si="31"/>
        <v>ENTRETIEN INVENTAIRE NEUF</v>
      </c>
      <c r="N402" s="151">
        <f>+IF(OR($Q402=Parametres!$G$2,$Q402=Parametres!$G$3),I402,C402)</f>
        <v>4842.41</v>
      </c>
      <c r="O402" s="151">
        <f>+IF(OR($Q402=Parametres!$G$2,$Q402=Parametres!$G$3),J402,D402)</f>
        <v>1079.49</v>
      </c>
      <c r="P402" s="151">
        <f>+IF(OR($Q402=Parametres!$G$2,$Q402=Parametres!$G$3),K402,E402)</f>
        <v>5921.9</v>
      </c>
      <c r="Q402" s="150" t="str">
        <f t="shared" si="32"/>
        <v>7-Dépenses</v>
      </c>
      <c r="R402" s="149" t="str">
        <f t="shared" si="33"/>
        <v>14</v>
      </c>
      <c r="S402" s="150" t="str">
        <f t="shared" si="34"/>
        <v>_</v>
      </c>
      <c r="T402" s="152" t="str">
        <f>+VLOOKUP($L402,Data_Validation!$A:$D,1,0)</f>
        <v>14A</v>
      </c>
      <c r="U402" s="152" t="str">
        <f>+VLOOKUP($L402,Data_Validation!$A:$D,3,0)</f>
        <v>Véhicules neufs</v>
      </c>
      <c r="V402" s="152" t="str">
        <f>+VLOOKUP($L402,Data_Validation!$A:$D,4,0)</f>
        <v>Entretien stock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390</v>
      </c>
      <c r="B403" s="671" t="s">
        <v>925</v>
      </c>
      <c r="C403" s="672">
        <v>7231.22</v>
      </c>
      <c r="D403" s="672">
        <v>2475.13</v>
      </c>
      <c r="E403" s="672">
        <v>9706.35</v>
      </c>
      <c r="F403" s="671" t="s">
        <v>2229</v>
      </c>
      <c r="G403" s="671" t="s">
        <v>2294</v>
      </c>
      <c r="H403" s="666" t="s">
        <v>2971</v>
      </c>
      <c r="I403" s="665"/>
      <c r="J403" s="665"/>
      <c r="K403" s="665"/>
      <c r="L403" s="149" t="str">
        <f t="shared" si="30"/>
        <v>14C</v>
      </c>
      <c r="M403" s="150" t="str">
        <f t="shared" si="31"/>
        <v>ENTRETIEN INVENTAIRE USAGE</v>
      </c>
      <c r="N403" s="151">
        <f>+IF(OR($Q403=Parametres!$G$2,$Q403=Parametres!$G$3),I403,C403)</f>
        <v>7231.22</v>
      </c>
      <c r="O403" s="151">
        <f>+IF(OR($Q403=Parametres!$G$2,$Q403=Parametres!$G$3),J403,D403)</f>
        <v>2475.13</v>
      </c>
      <c r="P403" s="151">
        <f>+IF(OR($Q403=Parametres!$G$2,$Q403=Parametres!$G$3),K403,E403)</f>
        <v>9706.35</v>
      </c>
      <c r="Q403" s="150" t="str">
        <f t="shared" si="32"/>
        <v>7-Dépenses</v>
      </c>
      <c r="R403" s="149" t="str">
        <f t="shared" si="33"/>
        <v>14</v>
      </c>
      <c r="S403" s="150" t="str">
        <f t="shared" si="34"/>
        <v>_</v>
      </c>
      <c r="T403" s="152" t="str">
        <f>+VLOOKUP($L403,Data_Validation!$A:$D,1,0)</f>
        <v>14C</v>
      </c>
      <c r="U403" s="152" t="str">
        <f>+VLOOKUP($L403,Data_Validation!$A:$D,3,0)</f>
        <v>Véhicules usagés</v>
      </c>
      <c r="V403" s="152" t="str">
        <f>+VLOOKUP($L403,Data_Validation!$A:$D,4,0)</f>
        <v>Entretien stock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1134</v>
      </c>
      <c r="B404" s="718" t="s">
        <v>892</v>
      </c>
      <c r="C404" s="720">
        <v>40418.720000000001</v>
      </c>
      <c r="D404" s="720">
        <v>19874.099999999999</v>
      </c>
      <c r="E404" s="720">
        <v>60292.82</v>
      </c>
      <c r="F404" s="718" t="s">
        <v>2229</v>
      </c>
      <c r="G404" s="718" t="s">
        <v>2268</v>
      </c>
      <c r="H404" s="673" t="s">
        <v>2971</v>
      </c>
      <c r="I404" s="673"/>
      <c r="J404" s="673"/>
      <c r="K404" s="673"/>
      <c r="L404" s="149" t="str">
        <f t="shared" si="30"/>
        <v>16A</v>
      </c>
      <c r="M404" s="150" t="str">
        <f t="shared" si="31"/>
        <v>PUBLICITE - NEUF BMW</v>
      </c>
      <c r="N404" s="151">
        <f>+IF(OR($Q404=Parametres!$G$2,$Q404=Parametres!$G$3),I404,C404)</f>
        <v>40418.720000000001</v>
      </c>
      <c r="O404" s="504">
        <f>+IF(OR($Q404=Parametres!$G$2,$Q404=Parametres!$G$3),J404,D404)</f>
        <v>19874.099999999999</v>
      </c>
      <c r="P404" s="151">
        <f>+IF(OR($Q404=Parametres!$G$2,$Q404=Parametres!$G$3),K404,E404)</f>
        <v>60292.82</v>
      </c>
      <c r="Q404" s="150" t="str">
        <f t="shared" si="32"/>
        <v>7-Dépenses</v>
      </c>
      <c r="R404" s="149" t="str">
        <f t="shared" si="33"/>
        <v>16</v>
      </c>
      <c r="S404" s="150" t="str">
        <f t="shared" si="34"/>
        <v>_</v>
      </c>
      <c r="T404" s="152" t="str">
        <f>+VLOOKUP($L404,Data_Validation!$A:$D,1,0)</f>
        <v>16A</v>
      </c>
      <c r="U404" s="152" t="str">
        <f>+VLOOKUP($L404,Data_Validation!$A:$D,3,0)</f>
        <v>Véhicules neufs</v>
      </c>
      <c r="V404" s="152" t="str">
        <f>+VLOOKUP($L404,Data_Validation!$A:$D,4,0)</f>
        <v>Publicité 1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1189</v>
      </c>
      <c r="B405" s="718" t="s">
        <v>916</v>
      </c>
      <c r="C405" s="720">
        <v>21139.68</v>
      </c>
      <c r="D405" s="720">
        <v>7066.05</v>
      </c>
      <c r="E405" s="720">
        <v>28205.73</v>
      </c>
      <c r="F405" s="718" t="s">
        <v>2229</v>
      </c>
      <c r="G405" s="718" t="s">
        <v>2268</v>
      </c>
      <c r="H405" s="609" t="s">
        <v>2971</v>
      </c>
      <c r="I405" s="608"/>
      <c r="J405" s="608"/>
      <c r="K405" s="608"/>
      <c r="L405" s="149" t="str">
        <f t="shared" si="30"/>
        <v>16C</v>
      </c>
      <c r="M405" s="150" t="str">
        <f t="shared" si="31"/>
        <v>PUBLICITE - USAGE BMW</v>
      </c>
      <c r="N405" s="151">
        <f>+IF(OR($Q405=Parametres!$G$2,$Q405=Parametres!$G$3),I405,C405)</f>
        <v>21139.68</v>
      </c>
      <c r="O405" s="151">
        <f>+IF(OR($Q405=Parametres!$G$2,$Q405=Parametres!$G$3),J405,D405)</f>
        <v>7066.05</v>
      </c>
      <c r="P405" s="151">
        <f>+IF(OR($Q405=Parametres!$G$2,$Q405=Parametres!$G$3),K405,E405)</f>
        <v>28205.73</v>
      </c>
      <c r="Q405" s="150" t="str">
        <f t="shared" si="32"/>
        <v>7-Dépenses</v>
      </c>
      <c r="R405" s="149" t="str">
        <f t="shared" si="33"/>
        <v>16</v>
      </c>
      <c r="S405" s="150" t="str">
        <f t="shared" si="34"/>
        <v>_</v>
      </c>
      <c r="T405" s="152" t="str">
        <f>+VLOOKUP($L405,Data_Validation!$A:$D,1,0)</f>
        <v>16C</v>
      </c>
      <c r="U405" s="152" t="str">
        <f>+VLOOKUP($L405,Data_Validation!$A:$D,3,0)</f>
        <v>Véhicules usagés</v>
      </c>
      <c r="V405" s="152" t="str">
        <f>+VLOOKUP($L405,Data_Validation!$A:$D,4,0)</f>
        <v>Publicité 1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1767</v>
      </c>
      <c r="B406" s="718" t="s">
        <v>945</v>
      </c>
      <c r="C406" s="720">
        <v>17948.669999999998</v>
      </c>
      <c r="D406" s="720">
        <v>9394.91</v>
      </c>
      <c r="E406" s="720">
        <v>27343.58</v>
      </c>
      <c r="F406" s="718" t="s">
        <v>2229</v>
      </c>
      <c r="G406" s="718" t="s">
        <v>2268</v>
      </c>
      <c r="H406" s="666" t="s">
        <v>2971</v>
      </c>
      <c r="I406" s="665"/>
      <c r="J406" s="665"/>
      <c r="K406" s="665"/>
      <c r="L406" s="149" t="str">
        <f t="shared" si="30"/>
        <v>16E</v>
      </c>
      <c r="M406" s="150" t="str">
        <f t="shared" si="31"/>
        <v>PUBLICITE - SERV. BMW</v>
      </c>
      <c r="N406" s="151">
        <f>+IF(OR($Q406=Parametres!$G$2,$Q406=Parametres!$G$3),I406,C406)</f>
        <v>17948.669999999998</v>
      </c>
      <c r="O406" s="151">
        <f>+IF(OR($Q406=Parametres!$G$2,$Q406=Parametres!$G$3),J406,D406)</f>
        <v>9394.91</v>
      </c>
      <c r="P406" s="151">
        <f>+IF(OR($Q406=Parametres!$G$2,$Q406=Parametres!$G$3),K406,E406)</f>
        <v>27343.58</v>
      </c>
      <c r="Q406" s="150" t="str">
        <f t="shared" si="32"/>
        <v>7-Dépenses</v>
      </c>
      <c r="R406" s="149" t="str">
        <f t="shared" si="33"/>
        <v>16</v>
      </c>
      <c r="S406" s="150" t="str">
        <f t="shared" si="34"/>
        <v>_</v>
      </c>
      <c r="T406" s="152" t="str">
        <f>+VLOOKUP($L406,Data_Validation!$A:$D,1,0)</f>
        <v>16E</v>
      </c>
      <c r="U406" s="152" t="str">
        <f>+VLOOKUP($L406,Data_Validation!$A:$D,3,0)</f>
        <v>Service</v>
      </c>
      <c r="V406" s="152" t="str">
        <f>+VLOOKUP($L406,Data_Validation!$A:$D,4,0)</f>
        <v>Publicité 2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1723</v>
      </c>
      <c r="B407" s="718" t="s">
        <v>860</v>
      </c>
      <c r="C407" s="719">
        <v>9118.31</v>
      </c>
      <c r="D407" s="719">
        <v>4993</v>
      </c>
      <c r="E407" s="719">
        <v>14111.31</v>
      </c>
      <c r="F407" s="718" t="s">
        <v>2229</v>
      </c>
      <c r="G407" s="718" t="s">
        <v>2268</v>
      </c>
      <c r="H407" s="719" t="s">
        <v>2971</v>
      </c>
      <c r="I407" s="720"/>
      <c r="J407" s="720"/>
      <c r="K407" s="720"/>
      <c r="L407" s="149" t="str">
        <f t="shared" si="30"/>
        <v>16G</v>
      </c>
      <c r="M407" s="150" t="str">
        <f t="shared" si="31"/>
        <v>PUBLICITE - PIECE BMW</v>
      </c>
      <c r="N407" s="151">
        <f>+IF(OR($Q407=Parametres!$G$2,$Q407=Parametres!$G$3),I407,C407)</f>
        <v>9118.31</v>
      </c>
      <c r="O407" s="151">
        <f>+IF(OR($Q407=Parametres!$G$2,$Q407=Parametres!$G$3),J407,D407)</f>
        <v>4993</v>
      </c>
      <c r="P407" s="151">
        <f>+IF(OR($Q407=Parametres!$G$2,$Q407=Parametres!$G$3),K407,E407)</f>
        <v>14111.31</v>
      </c>
      <c r="Q407" s="150" t="str">
        <f t="shared" si="32"/>
        <v>7-Dépenses</v>
      </c>
      <c r="R407" s="149" t="str">
        <f t="shared" si="33"/>
        <v>16</v>
      </c>
      <c r="S407" s="150" t="str">
        <f t="shared" si="34"/>
        <v>_</v>
      </c>
      <c r="T407" s="152" t="str">
        <f>+VLOOKUP($L407,Data_Validation!$A:$D,1,0)</f>
        <v>16G</v>
      </c>
      <c r="U407" s="152" t="str">
        <f>+VLOOKUP($L407,Data_Validation!$A:$D,3,0)</f>
        <v>Pièces</v>
      </c>
      <c r="V407" s="152" t="str">
        <f>+VLOOKUP($L407,Data_Validation!$A:$D,4,0)</f>
        <v>Publicité 2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1665</v>
      </c>
      <c r="B408" s="718" t="s">
        <v>930</v>
      </c>
      <c r="C408" s="720">
        <v>-1315</v>
      </c>
      <c r="D408" s="720">
        <v>285</v>
      </c>
      <c r="E408" s="720">
        <v>-1030</v>
      </c>
      <c r="F408" s="718" t="s">
        <v>2229</v>
      </c>
      <c r="G408" s="718" t="s">
        <v>2257</v>
      </c>
      <c r="H408" s="673" t="s">
        <v>2971</v>
      </c>
      <c r="I408" s="672"/>
      <c r="J408" s="672"/>
      <c r="K408" s="672"/>
      <c r="L408" s="149" t="str">
        <f t="shared" si="30"/>
        <v>17A</v>
      </c>
      <c r="M408" s="150" t="str">
        <f t="shared" si="31"/>
        <v>PUBLICITE GROUPE - NEUF BMW</v>
      </c>
      <c r="N408" s="151">
        <f>+IF(OR($Q408=Parametres!$G$2,$Q408=Parametres!$G$3),I408,C408)</f>
        <v>-1315</v>
      </c>
      <c r="O408" s="151">
        <f>+IF(OR($Q408=Parametres!$G$2,$Q408=Parametres!$G$3),J408,D408)</f>
        <v>285</v>
      </c>
      <c r="P408" s="151">
        <f>+IF(OR($Q408=Parametres!$G$2,$Q408=Parametres!$G$3),K408,E408)</f>
        <v>-1030</v>
      </c>
      <c r="Q408" s="150" t="str">
        <f t="shared" si="32"/>
        <v>7-Dépenses</v>
      </c>
      <c r="R408" s="149" t="str">
        <f t="shared" si="33"/>
        <v>17</v>
      </c>
      <c r="S408" s="150" t="str">
        <f t="shared" si="34"/>
        <v>_</v>
      </c>
      <c r="T408" s="152" t="str">
        <f>+VLOOKUP($L408,Data_Validation!$A:$D,1,0)</f>
        <v>17A</v>
      </c>
      <c r="U408" s="152" t="str">
        <f>+VLOOKUP($L408,Data_Validation!$A:$D,3,0)</f>
        <v>Véhicules neufs</v>
      </c>
      <c r="V408" s="152" t="str">
        <f>+VLOOKUP($L408,Data_Validation!$A:$D,4,0)</f>
        <v>Publicité 1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1819</v>
      </c>
      <c r="B409" s="718" t="s">
        <v>941</v>
      </c>
      <c r="C409" s="720">
        <v>67873.42</v>
      </c>
      <c r="D409" s="720">
        <v>24756.48</v>
      </c>
      <c r="E409" s="720">
        <v>92629.9</v>
      </c>
      <c r="F409" s="718" t="s">
        <v>2229</v>
      </c>
      <c r="G409" s="718" t="s">
        <v>2291</v>
      </c>
      <c r="H409" s="673" t="s">
        <v>2971</v>
      </c>
      <c r="I409" s="672"/>
      <c r="J409" s="672"/>
      <c r="K409" s="672"/>
      <c r="L409" s="149" t="str">
        <f t="shared" si="30"/>
        <v>18A</v>
      </c>
      <c r="M409" s="150" t="str">
        <f t="shared" si="31"/>
        <v>INT. FLOOR PLAN - NEUF BMW</v>
      </c>
      <c r="N409" s="151">
        <f>+IF(OR($Q409=Parametres!$G$2,$Q409=Parametres!$G$3),I409,C409)</f>
        <v>67873.42</v>
      </c>
      <c r="O409" s="151">
        <f>+IF(OR($Q409=Parametres!$G$2,$Q409=Parametres!$G$3),J409,D409)</f>
        <v>24756.48</v>
      </c>
      <c r="P409" s="151">
        <f>+IF(OR($Q409=Parametres!$G$2,$Q409=Parametres!$G$3),K409,E409)</f>
        <v>92629.9</v>
      </c>
      <c r="Q409" s="150" t="str">
        <f t="shared" si="32"/>
        <v>7-Dépenses</v>
      </c>
      <c r="R409" s="149" t="str">
        <f t="shared" si="33"/>
        <v>18</v>
      </c>
      <c r="S409" s="150" t="str">
        <f t="shared" si="34"/>
        <v>_</v>
      </c>
      <c r="T409" s="152" t="str">
        <f>+VLOOKUP($L409,Data_Validation!$A:$D,1,0)</f>
        <v>18A</v>
      </c>
      <c r="U409" s="152" t="str">
        <f>+VLOOKUP($L409,Data_Validation!$A:$D,3,0)</f>
        <v>Véhicules neufs</v>
      </c>
      <c r="V409" s="152" t="str">
        <f>+VLOOKUP($L409,Data_Validation!$A:$D,4,0)</f>
        <v>Intérêt de gros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1706</v>
      </c>
      <c r="B410" s="718" t="s">
        <v>787</v>
      </c>
      <c r="C410" s="719">
        <v>13493.59</v>
      </c>
      <c r="D410" s="719">
        <v>4220.46</v>
      </c>
      <c r="E410" s="719">
        <v>17714.05</v>
      </c>
      <c r="F410" s="718" t="s">
        <v>2229</v>
      </c>
      <c r="G410" s="718" t="s">
        <v>2291</v>
      </c>
      <c r="H410" s="719" t="s">
        <v>2971</v>
      </c>
      <c r="I410" s="720"/>
      <c r="J410" s="720"/>
      <c r="K410" s="720"/>
      <c r="L410" s="149" t="str">
        <f t="shared" si="30"/>
        <v>18C</v>
      </c>
      <c r="M410" s="150" t="str">
        <f t="shared" si="31"/>
        <v>INT. FLOOR PLAN - USAGE BMW</v>
      </c>
      <c r="N410" s="151">
        <f>+IF(OR($Q410=Parametres!$G$2,$Q410=Parametres!$G$3),I410,C410)</f>
        <v>13493.59</v>
      </c>
      <c r="O410" s="151">
        <f>+IF(OR($Q410=Parametres!$G$2,$Q410=Parametres!$G$3),J410,D410)</f>
        <v>4220.46</v>
      </c>
      <c r="P410" s="151">
        <f>+IF(OR($Q410=Parametres!$G$2,$Q410=Parametres!$G$3),K410,E410)</f>
        <v>17714.05</v>
      </c>
      <c r="Q410" s="150" t="str">
        <f t="shared" si="32"/>
        <v>7-Dépenses</v>
      </c>
      <c r="R410" s="149" t="str">
        <f t="shared" si="33"/>
        <v>18</v>
      </c>
      <c r="S410" s="150" t="str">
        <f t="shared" si="34"/>
        <v>_</v>
      </c>
      <c r="T410" s="152" t="str">
        <f>+VLOOKUP($L410,Data_Validation!$A:$D,1,0)</f>
        <v>18C</v>
      </c>
      <c r="U410" s="152" t="str">
        <f>+VLOOKUP($L410,Data_Validation!$A:$D,3,0)</f>
        <v>Véhicules usagés</v>
      </c>
      <c r="V410" s="152" t="str">
        <f>+VLOOKUP($L410,Data_Validation!$A:$D,4,0)</f>
        <v>Intérêt de gros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2853</v>
      </c>
      <c r="B411" s="718" t="s">
        <v>2854</v>
      </c>
      <c r="C411" s="719">
        <v>-7727.54</v>
      </c>
      <c r="D411" s="719">
        <v>-2547.54</v>
      </c>
      <c r="E411" s="719">
        <v>-10275.08</v>
      </c>
      <c r="F411" s="718" t="s">
        <v>2229</v>
      </c>
      <c r="G411" s="718" t="s">
        <v>2291</v>
      </c>
      <c r="H411" s="719" t="s">
        <v>2971</v>
      </c>
      <c r="I411" s="720"/>
      <c r="J411" s="720"/>
      <c r="K411" s="720"/>
      <c r="L411" s="149" t="str">
        <f t="shared" si="30"/>
        <v>18L</v>
      </c>
      <c r="M411" s="150" t="str">
        <f t="shared" si="31"/>
        <v>CREDIT INT FLOOR PLAN</v>
      </c>
      <c r="N411" s="151">
        <f>+IF(OR($Q411=Parametres!$G$2,$Q411=Parametres!$G$3),I411,C411)</f>
        <v>-7727.54</v>
      </c>
      <c r="O411" s="151">
        <f>+IF(OR($Q411=Parametres!$G$2,$Q411=Parametres!$G$3),J411,D411)</f>
        <v>-2547.54</v>
      </c>
      <c r="P411" s="151">
        <f>+IF(OR($Q411=Parametres!$G$2,$Q411=Parametres!$G$3),K411,E411)</f>
        <v>-10275.08</v>
      </c>
      <c r="Q411" s="150" t="str">
        <f t="shared" si="32"/>
        <v>7-Dépenses</v>
      </c>
      <c r="R411" s="149" t="str">
        <f t="shared" si="33"/>
        <v>18</v>
      </c>
      <c r="S411" s="150" t="str">
        <f t="shared" si="34"/>
        <v>_</v>
      </c>
      <c r="T411" s="152" t="str">
        <f>+VLOOKUP($L411,Data_Validation!$A:$D,1,0)</f>
        <v>18L</v>
      </c>
      <c r="U411" s="152" t="str">
        <f>+VLOOKUP($L411,Data_Validation!$A:$D,3,0)</f>
        <v>Autres</v>
      </c>
      <c r="V411" s="152" t="str">
        <f>+VLOOKUP($L411,Data_Validation!$A:$D,4,0)</f>
        <v>Revenus d'intérêts floor plan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1181</v>
      </c>
      <c r="B412" s="671" t="s">
        <v>461</v>
      </c>
      <c r="C412" s="672">
        <v>-5000</v>
      </c>
      <c r="D412" s="672">
        <v>-2900</v>
      </c>
      <c r="E412" s="672">
        <v>-7900</v>
      </c>
      <c r="F412" s="671" t="s">
        <v>2229</v>
      </c>
      <c r="G412" s="671" t="s">
        <v>2256</v>
      </c>
      <c r="H412" s="666" t="s">
        <v>2971</v>
      </c>
      <c r="I412" s="665"/>
      <c r="J412" s="665"/>
      <c r="K412" s="665"/>
      <c r="L412" s="149" t="str">
        <f t="shared" si="30"/>
        <v>19A</v>
      </c>
      <c r="M412" s="150" t="str">
        <f t="shared" si="31"/>
        <v>RECOUV. PUBLICITE - NEUF BMW</v>
      </c>
      <c r="N412" s="151">
        <f>+IF(OR($Q412=Parametres!$G$2,$Q412=Parametres!$G$3),I412,C412)</f>
        <v>-5000</v>
      </c>
      <c r="O412" s="151">
        <f>+IF(OR($Q412=Parametres!$G$2,$Q412=Parametres!$G$3),J412,D412)</f>
        <v>-2900</v>
      </c>
      <c r="P412" s="151">
        <f>+IF(OR($Q412=Parametres!$G$2,$Q412=Parametres!$G$3),K412,E412)</f>
        <v>-7900</v>
      </c>
      <c r="Q412" s="150" t="str">
        <f t="shared" si="32"/>
        <v>7-Dépenses</v>
      </c>
      <c r="R412" s="149" t="str">
        <f t="shared" si="33"/>
        <v>19</v>
      </c>
      <c r="S412" s="150" t="str">
        <f t="shared" si="34"/>
        <v>_</v>
      </c>
      <c r="T412" s="152" t="str">
        <f>+VLOOKUP($L412,Data_Validation!$A:$D,1,0)</f>
        <v>19A</v>
      </c>
      <c r="U412" s="152" t="str">
        <f>+VLOOKUP($L412,Data_Validation!$A:$D,3,0)</f>
        <v>Véhicules neufs</v>
      </c>
      <c r="V412" s="152" t="str">
        <f>+VLOOKUP($L412,Data_Validation!$A:$D,4,0)</f>
        <v>Publicité 1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1200</v>
      </c>
      <c r="B413" s="718" t="s">
        <v>463</v>
      </c>
      <c r="C413" s="720">
        <v>-3600</v>
      </c>
      <c r="D413" s="720">
        <v>-2100</v>
      </c>
      <c r="E413" s="720">
        <v>-5700</v>
      </c>
      <c r="F413" s="718" t="s">
        <v>2229</v>
      </c>
      <c r="G413" s="718" t="s">
        <v>2256</v>
      </c>
      <c r="H413" s="673" t="s">
        <v>2971</v>
      </c>
      <c r="I413" s="672"/>
      <c r="J413" s="672"/>
      <c r="K413" s="672"/>
      <c r="L413" s="149" t="str">
        <f t="shared" si="30"/>
        <v>19C</v>
      </c>
      <c r="M413" s="150" t="str">
        <f t="shared" si="31"/>
        <v>RECOUV. PUBLICITE - USAGE BMW</v>
      </c>
      <c r="N413" s="151">
        <f>+IF(OR($Q413=Parametres!$G$2,$Q413=Parametres!$G$3),I413,C413)</f>
        <v>-3600</v>
      </c>
      <c r="O413" s="151">
        <f>+IF(OR($Q413=Parametres!$G$2,$Q413=Parametres!$G$3),J413,D413)</f>
        <v>-2100</v>
      </c>
      <c r="P413" s="151">
        <f>+IF(OR($Q413=Parametres!$G$2,$Q413=Parametres!$G$3),K413,E413)</f>
        <v>-5700</v>
      </c>
      <c r="Q413" s="150" t="str">
        <f t="shared" si="32"/>
        <v>7-Dépenses</v>
      </c>
      <c r="R413" s="149" t="str">
        <f t="shared" si="33"/>
        <v>19</v>
      </c>
      <c r="S413" s="150" t="str">
        <f t="shared" si="34"/>
        <v>_</v>
      </c>
      <c r="T413" s="152" t="str">
        <f>+VLOOKUP($L413,Data_Validation!$A:$D,1,0)</f>
        <v>19C</v>
      </c>
      <c r="U413" s="152" t="str">
        <f>+VLOOKUP($L413,Data_Validation!$A:$D,3,0)</f>
        <v>Véhicules usagés</v>
      </c>
      <c r="V413" s="152" t="str">
        <f>+VLOOKUP($L413,Data_Validation!$A:$D,4,0)</f>
        <v>Publicité 1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1822</v>
      </c>
      <c r="B414" s="718" t="s">
        <v>942</v>
      </c>
      <c r="C414" s="720">
        <v>19185.509999999998</v>
      </c>
      <c r="D414" s="720">
        <v>7140.21</v>
      </c>
      <c r="E414" s="720">
        <v>26325.72</v>
      </c>
      <c r="F414" s="718" t="s">
        <v>2229</v>
      </c>
      <c r="G414" s="718" t="s">
        <v>2289</v>
      </c>
      <c r="H414" s="609" t="s">
        <v>2971</v>
      </c>
      <c r="I414" s="609"/>
      <c r="J414" s="609"/>
      <c r="K414" s="609"/>
      <c r="L414" s="149" t="str">
        <f t="shared" si="30"/>
        <v>20A</v>
      </c>
      <c r="M414" s="150" t="str">
        <f t="shared" si="31"/>
        <v>SAL. PROPRIETAIRE - NEUF BMW</v>
      </c>
      <c r="N414" s="151">
        <f>+IF(OR($Q414=Parametres!$G$2,$Q414=Parametres!$G$3),I414,C414)</f>
        <v>19185.509999999998</v>
      </c>
      <c r="O414" s="151">
        <f>+IF(OR($Q414=Parametres!$G$2,$Q414=Parametres!$G$3),J414,D414)</f>
        <v>7140.21</v>
      </c>
      <c r="P414" s="151">
        <f>+IF(OR($Q414=Parametres!$G$2,$Q414=Parametres!$G$3),K414,E414)</f>
        <v>26325.72</v>
      </c>
      <c r="Q414" s="150" t="str">
        <f t="shared" si="32"/>
        <v>7-Dépenses</v>
      </c>
      <c r="R414" s="149" t="str">
        <f t="shared" si="33"/>
        <v>20</v>
      </c>
      <c r="S414" s="150" t="str">
        <f t="shared" si="34"/>
        <v>_</v>
      </c>
      <c r="T414" s="152" t="str">
        <f>+VLOOKUP($L414,Data_Validation!$A:$D,1,0)</f>
        <v>20A</v>
      </c>
      <c r="U414" s="152" t="str">
        <f>+VLOOKUP($L414,Data_Validation!$A:$D,3,0)</f>
        <v>Véhicules neufs</v>
      </c>
      <c r="V414" s="152" t="str">
        <f>+VLOOKUP($L414,Data_Validation!$A:$D,4,0)</f>
        <v>Salaires propriétaire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1797</v>
      </c>
      <c r="B415" s="718" t="s">
        <v>907</v>
      </c>
      <c r="C415" s="720">
        <v>4263.43</v>
      </c>
      <c r="D415" s="720">
        <v>1586.71</v>
      </c>
      <c r="E415" s="720">
        <v>5850.14</v>
      </c>
      <c r="F415" s="718" t="s">
        <v>2229</v>
      </c>
      <c r="G415" s="718" t="s">
        <v>2289</v>
      </c>
      <c r="H415" s="666" t="s">
        <v>2971</v>
      </c>
      <c r="I415" s="665"/>
      <c r="J415" s="665"/>
      <c r="K415" s="665"/>
      <c r="L415" s="149" t="str">
        <f t="shared" si="30"/>
        <v>20C</v>
      </c>
      <c r="M415" s="150" t="str">
        <f t="shared" si="31"/>
        <v>SAL. PROPRIETAIRE - USAGE BMW</v>
      </c>
      <c r="N415" s="151">
        <f>+IF(OR($Q415=Parametres!$G$2,$Q415=Parametres!$G$3),I415,C415)</f>
        <v>4263.43</v>
      </c>
      <c r="O415" s="151">
        <f>+IF(OR($Q415=Parametres!$G$2,$Q415=Parametres!$G$3),J415,D415)</f>
        <v>1586.71</v>
      </c>
      <c r="P415" s="151">
        <f>+IF(OR($Q415=Parametres!$G$2,$Q415=Parametres!$G$3),K415,E415)</f>
        <v>5850.14</v>
      </c>
      <c r="Q415" s="150" t="str">
        <f t="shared" si="32"/>
        <v>7-Dépenses</v>
      </c>
      <c r="R415" s="149" t="str">
        <f t="shared" si="33"/>
        <v>20</v>
      </c>
      <c r="S415" s="150" t="str">
        <f t="shared" si="34"/>
        <v>_</v>
      </c>
      <c r="T415" s="152" t="str">
        <f>+VLOOKUP($L415,Data_Validation!$A:$D,1,0)</f>
        <v>20C</v>
      </c>
      <c r="U415" s="152" t="str">
        <f>+VLOOKUP($L415,Data_Validation!$A:$D,3,0)</f>
        <v>Véhicules usagés</v>
      </c>
      <c r="V415" s="152" t="str">
        <f>+VLOOKUP($L415,Data_Validation!$A:$D,4,0)</f>
        <v>Salaires propriétaire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1783</v>
      </c>
      <c r="B416" s="718" t="s">
        <v>897</v>
      </c>
      <c r="C416" s="720">
        <v>10658.66</v>
      </c>
      <c r="D416" s="720">
        <v>3966.81</v>
      </c>
      <c r="E416" s="720">
        <v>14625.47</v>
      </c>
      <c r="F416" s="718" t="s">
        <v>2229</v>
      </c>
      <c r="G416" s="718" t="s">
        <v>2289</v>
      </c>
      <c r="H416" s="673" t="s">
        <v>2971</v>
      </c>
      <c r="I416" s="672"/>
      <c r="J416" s="672"/>
      <c r="K416" s="672"/>
      <c r="L416" s="149" t="str">
        <f t="shared" si="30"/>
        <v>20E</v>
      </c>
      <c r="M416" s="150" t="str">
        <f t="shared" si="31"/>
        <v>SAL. PROPRIETAIRE - SERV. BMW</v>
      </c>
      <c r="N416" s="151">
        <f>+IF(OR($Q416=Parametres!$G$2,$Q416=Parametres!$G$3),I416,C416)</f>
        <v>10658.66</v>
      </c>
      <c r="O416" s="151">
        <f>+IF(OR($Q416=Parametres!$G$2,$Q416=Parametres!$G$3),J416,D416)</f>
        <v>3966.81</v>
      </c>
      <c r="P416" s="151">
        <f>+IF(OR($Q416=Parametres!$G$2,$Q416=Parametres!$G$3),K416,E416)</f>
        <v>14625.47</v>
      </c>
      <c r="Q416" s="150" t="str">
        <f t="shared" si="32"/>
        <v>7-Dépenses</v>
      </c>
      <c r="R416" s="149" t="str">
        <f t="shared" si="33"/>
        <v>20</v>
      </c>
      <c r="S416" s="150" t="str">
        <f t="shared" si="34"/>
        <v>_</v>
      </c>
      <c r="T416" s="152" t="str">
        <f>+VLOOKUP($L416,Data_Validation!$A:$D,1,0)</f>
        <v>20E</v>
      </c>
      <c r="U416" s="152" t="str">
        <f>+VLOOKUP($L416,Data_Validation!$A:$D,3,0)</f>
        <v>Service</v>
      </c>
      <c r="V416" s="152" t="str">
        <f>+VLOOKUP($L416,Data_Validation!$A:$D,4,0)</f>
        <v>Salaires propriétaire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1774</v>
      </c>
      <c r="B417" s="718" t="s">
        <v>887</v>
      </c>
      <c r="C417" s="719">
        <v>8526.89</v>
      </c>
      <c r="D417" s="719">
        <v>3173.44</v>
      </c>
      <c r="E417" s="719">
        <v>11700.33</v>
      </c>
      <c r="F417" s="718" t="s">
        <v>2229</v>
      </c>
      <c r="G417" s="718" t="s">
        <v>2289</v>
      </c>
      <c r="H417" s="719" t="s">
        <v>2971</v>
      </c>
      <c r="I417" s="720"/>
      <c r="J417" s="720"/>
      <c r="K417" s="720"/>
      <c r="L417" s="149" t="str">
        <f t="shared" si="30"/>
        <v>20G</v>
      </c>
      <c r="M417" s="150" t="str">
        <f t="shared" si="31"/>
        <v>SAL. PROPRIETAIRE - PIECE BMW</v>
      </c>
      <c r="N417" s="151">
        <f>+IF(OR($Q417=Parametres!$G$2,$Q417=Parametres!$G$3),I417,C417)</f>
        <v>8526.89</v>
      </c>
      <c r="O417" s="151">
        <f>+IF(OR($Q417=Parametres!$G$2,$Q417=Parametres!$G$3),J417,D417)</f>
        <v>3173.44</v>
      </c>
      <c r="P417" s="151">
        <f>+IF(OR($Q417=Parametres!$G$2,$Q417=Parametres!$G$3),K417,E417)</f>
        <v>11700.33</v>
      </c>
      <c r="Q417" s="150" t="str">
        <f t="shared" si="32"/>
        <v>7-Dépenses</v>
      </c>
      <c r="R417" s="149" t="str">
        <f t="shared" si="33"/>
        <v>20</v>
      </c>
      <c r="S417" s="150" t="str">
        <f t="shared" si="34"/>
        <v>_</v>
      </c>
      <c r="T417" s="152" t="str">
        <f>+VLOOKUP($L417,Data_Validation!$A:$D,1,0)</f>
        <v>20G</v>
      </c>
      <c r="U417" s="152" t="str">
        <f>+VLOOKUP($L417,Data_Validation!$A:$D,3,0)</f>
        <v>Pièces</v>
      </c>
      <c r="V417" s="152" t="str">
        <f>+VLOOKUP($L417,Data_Validation!$A:$D,4,0)</f>
        <v>Salaires propriétaire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1824</v>
      </c>
      <c r="B418" s="718" t="s">
        <v>961</v>
      </c>
      <c r="C418" s="719">
        <v>39105.97</v>
      </c>
      <c r="D418" s="719">
        <v>13325.86</v>
      </c>
      <c r="E418" s="719">
        <v>52431.83</v>
      </c>
      <c r="F418" s="718" t="s">
        <v>2229</v>
      </c>
      <c r="G418" s="718" t="s">
        <v>2288</v>
      </c>
      <c r="H418" s="719" t="s">
        <v>2971</v>
      </c>
      <c r="I418" s="720"/>
      <c r="J418" s="720"/>
      <c r="K418" s="720"/>
      <c r="L418" s="149" t="str">
        <f t="shared" si="30"/>
        <v>21A</v>
      </c>
      <c r="M418" s="150" t="str">
        <f t="shared" si="31"/>
        <v>SAL. SUPERVISION - NEUF BMW</v>
      </c>
      <c r="N418" s="151">
        <f>+IF(OR($Q418=Parametres!$G$2,$Q418=Parametres!$G$3),I418,C418)</f>
        <v>39105.97</v>
      </c>
      <c r="O418" s="151">
        <f>+IF(OR($Q418=Parametres!$G$2,$Q418=Parametres!$G$3),J418,D418)</f>
        <v>13325.86</v>
      </c>
      <c r="P418" s="151">
        <f>+IF(OR($Q418=Parametres!$G$2,$Q418=Parametres!$G$3),K418,E418)</f>
        <v>52431.83</v>
      </c>
      <c r="Q418" s="150" t="str">
        <f t="shared" si="32"/>
        <v>7-Dépenses</v>
      </c>
      <c r="R418" s="149" t="str">
        <f t="shared" si="33"/>
        <v>21</v>
      </c>
      <c r="S418" s="150" t="str">
        <f t="shared" si="34"/>
        <v>_</v>
      </c>
      <c r="T418" s="152" t="str">
        <f>+VLOOKUP($L418,Data_Validation!$A:$D,1,0)</f>
        <v>21A</v>
      </c>
      <c r="U418" s="152" t="str">
        <f>+VLOOKUP($L418,Data_Validation!$A:$D,3,0)</f>
        <v>Véhicules neufs</v>
      </c>
      <c r="V418" s="152" t="str">
        <f>+VLOOKUP($L418,Data_Validation!$A:$D,4,0)</f>
        <v>Salaires cadres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1770</v>
      </c>
      <c r="B419" s="718" t="s">
        <v>922</v>
      </c>
      <c r="C419" s="720">
        <v>12719.36</v>
      </c>
      <c r="D419" s="720">
        <v>4324.1899999999996</v>
      </c>
      <c r="E419" s="720">
        <v>17043.55</v>
      </c>
      <c r="F419" s="718" t="s">
        <v>2229</v>
      </c>
      <c r="G419" s="718" t="s">
        <v>2288</v>
      </c>
      <c r="H419" s="673" t="s">
        <v>2971</v>
      </c>
      <c r="I419" s="672"/>
      <c r="J419" s="672"/>
      <c r="K419" s="672"/>
      <c r="L419" s="149" t="str">
        <f t="shared" si="30"/>
        <v>21C</v>
      </c>
      <c r="M419" s="150" t="str">
        <f t="shared" si="31"/>
        <v>SAL. SUPERVISION - USAGE BMW</v>
      </c>
      <c r="N419" s="151">
        <f>+IF(OR($Q419=Parametres!$G$2,$Q419=Parametres!$G$3),I419,C419)</f>
        <v>12719.36</v>
      </c>
      <c r="O419" s="151">
        <f>+IF(OR($Q419=Parametres!$G$2,$Q419=Parametres!$G$3),J419,D419)</f>
        <v>4324.1899999999996</v>
      </c>
      <c r="P419" s="151">
        <f>+IF(OR($Q419=Parametres!$G$2,$Q419=Parametres!$G$3),K419,E419)</f>
        <v>17043.55</v>
      </c>
      <c r="Q419" s="150" t="str">
        <f t="shared" si="32"/>
        <v>7-Dépenses</v>
      </c>
      <c r="R419" s="149" t="str">
        <f t="shared" si="33"/>
        <v>21</v>
      </c>
      <c r="S419" s="150" t="str">
        <f t="shared" si="34"/>
        <v>_</v>
      </c>
      <c r="T419" s="152" t="str">
        <f>+VLOOKUP($L419,Data_Validation!$A:$D,1,0)</f>
        <v>21C</v>
      </c>
      <c r="U419" s="152" t="str">
        <f>+VLOOKUP($L419,Data_Validation!$A:$D,3,0)</f>
        <v>Véhicules usagés</v>
      </c>
      <c r="V419" s="152" t="str">
        <f>+VLOOKUP($L419,Data_Validation!$A:$D,4,0)</f>
        <v>Salaires cadres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1806</v>
      </c>
      <c r="B420" s="718" t="s">
        <v>950</v>
      </c>
      <c r="C420" s="720">
        <v>38455.269999999997</v>
      </c>
      <c r="D420" s="720">
        <v>13099.41</v>
      </c>
      <c r="E420" s="720">
        <v>51554.68</v>
      </c>
      <c r="F420" s="718" t="s">
        <v>2229</v>
      </c>
      <c r="G420" s="718" t="s">
        <v>2288</v>
      </c>
      <c r="H420" s="673" t="s">
        <v>2971</v>
      </c>
      <c r="I420" s="672"/>
      <c r="J420" s="672"/>
      <c r="K420" s="672"/>
      <c r="L420" s="149" t="str">
        <f t="shared" si="30"/>
        <v>21E</v>
      </c>
      <c r="M420" s="150" t="str">
        <f t="shared" si="31"/>
        <v>SAL. SUPERVISION - SERV. BMW</v>
      </c>
      <c r="N420" s="151">
        <f>+IF(OR($Q420=Parametres!$G$2,$Q420=Parametres!$G$3),I420,C420)</f>
        <v>38455.269999999997</v>
      </c>
      <c r="O420" s="151">
        <f>+IF(OR($Q420=Parametres!$G$2,$Q420=Parametres!$G$3),J420,D420)</f>
        <v>13099.41</v>
      </c>
      <c r="P420" s="151">
        <f>+IF(OR($Q420=Parametres!$G$2,$Q420=Parametres!$G$3),K420,E420)</f>
        <v>51554.68</v>
      </c>
      <c r="Q420" s="150" t="str">
        <f t="shared" si="32"/>
        <v>7-Dépenses</v>
      </c>
      <c r="R420" s="149" t="str">
        <f t="shared" si="33"/>
        <v>21</v>
      </c>
      <c r="S420" s="150" t="str">
        <f t="shared" si="34"/>
        <v>_</v>
      </c>
      <c r="T420" s="152" t="str">
        <f>+VLOOKUP($L420,Data_Validation!$A:$D,1,0)</f>
        <v>21E</v>
      </c>
      <c r="U420" s="152" t="str">
        <f>+VLOOKUP($L420,Data_Validation!$A:$D,3,0)</f>
        <v>Service</v>
      </c>
      <c r="V420" s="152" t="str">
        <f>+VLOOKUP($L420,Data_Validation!$A:$D,4,0)</f>
        <v>Salaires cadres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1805</v>
      </c>
      <c r="B421" s="718" t="s">
        <v>938</v>
      </c>
      <c r="C421" s="719">
        <v>9645.42</v>
      </c>
      <c r="D421" s="719">
        <v>3271.86</v>
      </c>
      <c r="E421" s="719">
        <v>12917.28</v>
      </c>
      <c r="F421" s="718" t="s">
        <v>2229</v>
      </c>
      <c r="G421" s="718" t="s">
        <v>2288</v>
      </c>
      <c r="H421" s="719" t="s">
        <v>2971</v>
      </c>
      <c r="I421" s="720"/>
      <c r="J421" s="720"/>
      <c r="K421" s="720"/>
      <c r="L421" s="149" t="str">
        <f t="shared" si="30"/>
        <v>21G</v>
      </c>
      <c r="M421" s="150" t="str">
        <f t="shared" si="31"/>
        <v>SAL. SUPERVISION - PIECE BMW</v>
      </c>
      <c r="N421" s="151">
        <f>+IF(OR($Q421=Parametres!$G$2,$Q421=Parametres!$G$3),I421,C421)</f>
        <v>9645.42</v>
      </c>
      <c r="O421" s="151">
        <f>+IF(OR($Q421=Parametres!$G$2,$Q421=Parametres!$G$3),J421,D421)</f>
        <v>3271.86</v>
      </c>
      <c r="P421" s="151">
        <f>+IF(OR($Q421=Parametres!$G$2,$Q421=Parametres!$G$3),K421,E421)</f>
        <v>12917.28</v>
      </c>
      <c r="Q421" s="150" t="str">
        <f t="shared" si="32"/>
        <v>7-Dépenses</v>
      </c>
      <c r="R421" s="149" t="str">
        <f t="shared" si="33"/>
        <v>21</v>
      </c>
      <c r="S421" s="150" t="str">
        <f t="shared" si="34"/>
        <v>_</v>
      </c>
      <c r="T421" s="152" t="str">
        <f>+VLOOKUP($L421,Data_Validation!$A:$D,1,0)</f>
        <v>21G</v>
      </c>
      <c r="U421" s="152" t="str">
        <f>+VLOOKUP($L421,Data_Validation!$A:$D,3,0)</f>
        <v>Pièces</v>
      </c>
      <c r="V421" s="152" t="str">
        <f>+VLOOKUP($L421,Data_Validation!$A:$D,4,0)</f>
        <v>Salaires cadres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1791</v>
      </c>
      <c r="B422" s="718" t="s">
        <v>924</v>
      </c>
      <c r="C422" s="720">
        <v>28657.5</v>
      </c>
      <c r="D422" s="720">
        <v>8772.33</v>
      </c>
      <c r="E422" s="720">
        <v>37429.83</v>
      </c>
      <c r="F422" s="718" t="s">
        <v>2229</v>
      </c>
      <c r="G422" s="718" t="s">
        <v>2287</v>
      </c>
      <c r="H422" s="673" t="s">
        <v>2971</v>
      </c>
      <c r="I422" s="672"/>
      <c r="J422" s="672"/>
      <c r="K422" s="672"/>
      <c r="L422" s="149" t="str">
        <f t="shared" si="30"/>
        <v>22A</v>
      </c>
      <c r="M422" s="150" t="str">
        <f t="shared" si="31"/>
        <v>SAL. ADMIN. - NEUF BMW</v>
      </c>
      <c r="N422" s="151">
        <f>+IF(OR($Q422=Parametres!$G$2,$Q422=Parametres!$G$3),I422,C422)</f>
        <v>28657.5</v>
      </c>
      <c r="O422" s="504">
        <f>+IF(OR($Q422=Parametres!$G$2,$Q422=Parametres!$G$3),J422,D422)</f>
        <v>8772.33</v>
      </c>
      <c r="P422" s="151">
        <f>+IF(OR($Q422=Parametres!$G$2,$Q422=Parametres!$G$3),K422,E422)</f>
        <v>37429.83</v>
      </c>
      <c r="Q422" s="150" t="str">
        <f t="shared" si="32"/>
        <v>7-Dépenses</v>
      </c>
      <c r="R422" s="149" t="str">
        <f t="shared" si="33"/>
        <v>22</v>
      </c>
      <c r="S422" s="150" t="str">
        <f t="shared" si="34"/>
        <v>_</v>
      </c>
      <c r="T422" s="152" t="str">
        <f>+VLOOKUP($L422,Data_Validation!$A:$D,1,0)</f>
        <v>22A</v>
      </c>
      <c r="U422" s="152" t="str">
        <f>+VLOOKUP($L422,Data_Validation!$A:$D,3,0)</f>
        <v>Véhicules neufs</v>
      </c>
      <c r="V422" s="152" t="str">
        <f>+VLOOKUP($L422,Data_Validation!$A:$D,4,0)</f>
        <v>Salaires commis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1704</v>
      </c>
      <c r="B423" s="718" t="s">
        <v>861</v>
      </c>
      <c r="C423" s="720">
        <v>9538.16</v>
      </c>
      <c r="D423" s="720">
        <v>2814.78</v>
      </c>
      <c r="E423" s="720">
        <v>12352.94</v>
      </c>
      <c r="F423" s="718" t="s">
        <v>2229</v>
      </c>
      <c r="G423" s="718" t="s">
        <v>2287</v>
      </c>
      <c r="H423" s="673" t="s">
        <v>2971</v>
      </c>
      <c r="I423" s="672"/>
      <c r="J423" s="672"/>
      <c r="K423" s="672"/>
      <c r="L423" s="149" t="str">
        <f t="shared" si="30"/>
        <v>22C</v>
      </c>
      <c r="M423" s="150" t="str">
        <f t="shared" si="31"/>
        <v>SAL. ADMIN. - USAGE BMW</v>
      </c>
      <c r="N423" s="151">
        <f>+IF(OR($Q423=Parametres!$G$2,$Q423=Parametres!$G$3),I423,C423)</f>
        <v>9538.16</v>
      </c>
      <c r="O423" s="151">
        <f>+IF(OR($Q423=Parametres!$G$2,$Q423=Parametres!$G$3),J423,D423)</f>
        <v>2814.78</v>
      </c>
      <c r="P423" s="151">
        <f>+IF(OR($Q423=Parametres!$G$2,$Q423=Parametres!$G$3),K423,E423)</f>
        <v>12352.94</v>
      </c>
      <c r="Q423" s="150" t="str">
        <f t="shared" si="32"/>
        <v>7-Dépenses</v>
      </c>
      <c r="R423" s="149" t="str">
        <f t="shared" si="33"/>
        <v>22</v>
      </c>
      <c r="S423" s="150" t="str">
        <f t="shared" si="34"/>
        <v>_</v>
      </c>
      <c r="T423" s="152" t="str">
        <f>+VLOOKUP($L423,Data_Validation!$A:$D,1,0)</f>
        <v>22C</v>
      </c>
      <c r="U423" s="152" t="str">
        <f>+VLOOKUP($L423,Data_Validation!$A:$D,3,0)</f>
        <v>Véhicules usagés</v>
      </c>
      <c r="V423" s="152" t="str">
        <f>+VLOOKUP($L423,Data_Validation!$A:$D,4,0)</f>
        <v>Salaires commis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1772</v>
      </c>
      <c r="B424" s="718" t="s">
        <v>921</v>
      </c>
      <c r="C424" s="720">
        <v>15174.05</v>
      </c>
      <c r="D424" s="720">
        <v>4760.12</v>
      </c>
      <c r="E424" s="720">
        <v>19934.169999999998</v>
      </c>
      <c r="F424" s="718" t="s">
        <v>2229</v>
      </c>
      <c r="G424" s="718" t="s">
        <v>2287</v>
      </c>
      <c r="H424" s="673" t="s">
        <v>2971</v>
      </c>
      <c r="I424" s="672"/>
      <c r="J424" s="672"/>
      <c r="K424" s="672"/>
      <c r="L424" s="149" t="str">
        <f t="shared" si="30"/>
        <v>22E</v>
      </c>
      <c r="M424" s="150" t="str">
        <f t="shared" si="31"/>
        <v>SAL. ADMIN. - SERV. BMW</v>
      </c>
      <c r="N424" s="151">
        <f>+IF(OR($Q424=Parametres!$G$2,$Q424=Parametres!$G$3),I424,C424)</f>
        <v>15174.05</v>
      </c>
      <c r="O424" s="151">
        <f>+IF(OR($Q424=Parametres!$G$2,$Q424=Parametres!$G$3),J424,D424)</f>
        <v>4760.12</v>
      </c>
      <c r="P424" s="151">
        <f>+IF(OR($Q424=Parametres!$G$2,$Q424=Parametres!$G$3),K424,E424)</f>
        <v>19934.169999999998</v>
      </c>
      <c r="Q424" s="150" t="str">
        <f t="shared" si="32"/>
        <v>7-Dépenses</v>
      </c>
      <c r="R424" s="149" t="str">
        <f t="shared" si="33"/>
        <v>22</v>
      </c>
      <c r="S424" s="150" t="str">
        <f t="shared" si="34"/>
        <v>_</v>
      </c>
      <c r="T424" s="152" t="str">
        <f>+VLOOKUP($L424,Data_Validation!$A:$D,1,0)</f>
        <v>22E</v>
      </c>
      <c r="U424" s="152" t="str">
        <f>+VLOOKUP($L424,Data_Validation!$A:$D,3,0)</f>
        <v>Service</v>
      </c>
      <c r="V424" s="152" t="str">
        <f>+VLOOKUP($L424,Data_Validation!$A:$D,4,0)</f>
        <v>Salaires commis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1743</v>
      </c>
      <c r="B425" s="718" t="s">
        <v>906</v>
      </c>
      <c r="C425" s="719">
        <v>8281.7900000000009</v>
      </c>
      <c r="D425" s="719">
        <v>2682.61</v>
      </c>
      <c r="E425" s="719">
        <v>10964.4</v>
      </c>
      <c r="F425" s="718" t="s">
        <v>2229</v>
      </c>
      <c r="G425" s="718" t="s">
        <v>2287</v>
      </c>
      <c r="H425" s="719" t="s">
        <v>2971</v>
      </c>
      <c r="I425" s="720"/>
      <c r="J425" s="720"/>
      <c r="K425" s="720"/>
      <c r="L425" s="149" t="str">
        <f t="shared" si="30"/>
        <v>22G</v>
      </c>
      <c r="M425" s="150" t="str">
        <f t="shared" si="31"/>
        <v>SAL. ADMIN. - PIECE BMW</v>
      </c>
      <c r="N425" s="151">
        <f>+IF(OR($Q425=Parametres!$G$2,$Q425=Parametres!$G$3),I425,C425)</f>
        <v>8281.7900000000009</v>
      </c>
      <c r="O425" s="151">
        <f>+IF(OR($Q425=Parametres!$G$2,$Q425=Parametres!$G$3),J425,D425)</f>
        <v>2682.61</v>
      </c>
      <c r="P425" s="151">
        <f>+IF(OR($Q425=Parametres!$G$2,$Q425=Parametres!$G$3),K425,E425)</f>
        <v>10964.4</v>
      </c>
      <c r="Q425" s="150" t="str">
        <f t="shared" si="32"/>
        <v>7-Dépenses</v>
      </c>
      <c r="R425" s="149" t="str">
        <f t="shared" si="33"/>
        <v>22</v>
      </c>
      <c r="S425" s="150" t="str">
        <f t="shared" si="34"/>
        <v>_</v>
      </c>
      <c r="T425" s="152" t="str">
        <f>+VLOOKUP($L425,Data_Validation!$A:$D,1,0)</f>
        <v>22G</v>
      </c>
      <c r="U425" s="152" t="str">
        <f>+VLOOKUP($L425,Data_Validation!$A:$D,3,0)</f>
        <v>Pièces</v>
      </c>
      <c r="V425" s="152" t="str">
        <f>+VLOOKUP($L425,Data_Validation!$A:$D,4,0)</f>
        <v>Salaires commis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1670</v>
      </c>
      <c r="B426" s="718" t="s">
        <v>910</v>
      </c>
      <c r="C426" s="720">
        <v>1026</v>
      </c>
      <c r="D426" s="720">
        <v>342</v>
      </c>
      <c r="E426" s="720">
        <v>1368</v>
      </c>
      <c r="F426" s="718" t="s">
        <v>2229</v>
      </c>
      <c r="G426" s="718" t="s">
        <v>2269</v>
      </c>
      <c r="H426" s="673" t="s">
        <v>2971</v>
      </c>
      <c r="I426" s="673"/>
      <c r="J426" s="673"/>
      <c r="K426" s="673"/>
      <c r="L426" s="149" t="str">
        <f t="shared" si="30"/>
        <v>23A</v>
      </c>
      <c r="M426" s="150" t="str">
        <f t="shared" si="31"/>
        <v>SAL. AUTRES - NEUF BMW</v>
      </c>
      <c r="N426" s="151">
        <f>+IF(OR($Q426=Parametres!$G$2,$Q426=Parametres!$G$3),I426,C426)</f>
        <v>1026</v>
      </c>
      <c r="O426" s="151">
        <f>+IF(OR($Q426=Parametres!$G$2,$Q426=Parametres!$G$3),J426,D426)</f>
        <v>342</v>
      </c>
      <c r="P426" s="151">
        <f>+IF(OR($Q426=Parametres!$G$2,$Q426=Parametres!$G$3),K426,E426)</f>
        <v>1368</v>
      </c>
      <c r="Q426" s="150" t="str">
        <f t="shared" si="32"/>
        <v>7-Dépenses</v>
      </c>
      <c r="R426" s="149" t="str">
        <f t="shared" si="33"/>
        <v>23</v>
      </c>
      <c r="S426" s="150" t="str">
        <f t="shared" si="34"/>
        <v>_</v>
      </c>
      <c r="T426" s="152" t="str">
        <f>+VLOOKUP($L426,Data_Validation!$A:$D,1,0)</f>
        <v>23A</v>
      </c>
      <c r="U426" s="152" t="str">
        <f>+VLOOKUP($L426,Data_Validation!$A:$D,3,0)</f>
        <v>Véhicules neufs</v>
      </c>
      <c r="V426" s="152" t="str">
        <f>+VLOOKUP($L426,Data_Validation!$A:$D,4,0)</f>
        <v>salaires autres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1782</v>
      </c>
      <c r="B427" s="718" t="s">
        <v>937</v>
      </c>
      <c r="C427" s="720">
        <v>8427</v>
      </c>
      <c r="D427" s="720">
        <v>2809</v>
      </c>
      <c r="E427" s="720">
        <v>11236</v>
      </c>
      <c r="F427" s="718" t="s">
        <v>2229</v>
      </c>
      <c r="G427" s="718" t="s">
        <v>2269</v>
      </c>
      <c r="H427" s="673" t="s">
        <v>2971</v>
      </c>
      <c r="I427" s="672"/>
      <c r="J427" s="672"/>
      <c r="K427" s="672"/>
      <c r="L427" s="149" t="str">
        <f t="shared" si="30"/>
        <v>23C</v>
      </c>
      <c r="M427" s="150" t="str">
        <f t="shared" si="31"/>
        <v>SAL. AUTRES - USAGE BMW</v>
      </c>
      <c r="N427" s="151">
        <f>+IF(OR($Q427=Parametres!$G$2,$Q427=Parametres!$G$3),I427,C427)</f>
        <v>8427</v>
      </c>
      <c r="O427" s="151">
        <f>+IF(OR($Q427=Parametres!$G$2,$Q427=Parametres!$G$3),J427,D427)</f>
        <v>2809</v>
      </c>
      <c r="P427" s="151">
        <f>+IF(OR($Q427=Parametres!$G$2,$Q427=Parametres!$G$3),K427,E427)</f>
        <v>11236</v>
      </c>
      <c r="Q427" s="150" t="str">
        <f t="shared" si="32"/>
        <v>7-Dépenses</v>
      </c>
      <c r="R427" s="149" t="str">
        <f t="shared" si="33"/>
        <v>23</v>
      </c>
      <c r="S427" s="150" t="str">
        <f t="shared" si="34"/>
        <v>_</v>
      </c>
      <c r="T427" s="152" t="str">
        <f>+VLOOKUP($L427,Data_Validation!$A:$D,1,0)</f>
        <v>23C</v>
      </c>
      <c r="U427" s="152" t="str">
        <f>+VLOOKUP($L427,Data_Validation!$A:$D,3,0)</f>
        <v>Véhicules usagés</v>
      </c>
      <c r="V427" s="152" t="str">
        <f>+VLOOKUP($L427,Data_Validation!$A:$D,4,0)</f>
        <v>salaires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1215</v>
      </c>
      <c r="B428" s="718" t="s">
        <v>949</v>
      </c>
      <c r="C428" s="719">
        <v>21505.01</v>
      </c>
      <c r="D428" s="719">
        <v>11398.89</v>
      </c>
      <c r="E428" s="719">
        <v>32903.9</v>
      </c>
      <c r="F428" s="718" t="s">
        <v>2229</v>
      </c>
      <c r="G428" s="718" t="s">
        <v>2269</v>
      </c>
      <c r="H428" s="719" t="s">
        <v>2971</v>
      </c>
      <c r="I428" s="720"/>
      <c r="J428" s="720"/>
      <c r="K428" s="720"/>
      <c r="L428" s="149" t="str">
        <f t="shared" si="30"/>
        <v>23E</v>
      </c>
      <c r="M428" s="150" t="str">
        <f t="shared" si="31"/>
        <v>SAL. AUTRES - SERV. BMW</v>
      </c>
      <c r="N428" s="151">
        <f>+IF(OR($Q428=Parametres!$G$2,$Q428=Parametres!$G$3),I428,C428)</f>
        <v>21505.01</v>
      </c>
      <c r="O428" s="151">
        <f>+IF(OR($Q428=Parametres!$G$2,$Q428=Parametres!$G$3),J428,D428)</f>
        <v>11398.89</v>
      </c>
      <c r="P428" s="151">
        <f>+IF(OR($Q428=Parametres!$G$2,$Q428=Parametres!$G$3),K428,E428)</f>
        <v>32903.9</v>
      </c>
      <c r="Q428" s="150" t="str">
        <f t="shared" si="32"/>
        <v>7-Dépenses</v>
      </c>
      <c r="R428" s="149" t="str">
        <f t="shared" si="33"/>
        <v>23</v>
      </c>
      <c r="S428" s="150" t="str">
        <f t="shared" si="34"/>
        <v>_</v>
      </c>
      <c r="T428" s="152" t="str">
        <f>+VLOOKUP($L428,Data_Validation!$A:$D,1,0)</f>
        <v>23E</v>
      </c>
      <c r="U428" s="152" t="str">
        <f>+VLOOKUP($L428,Data_Validation!$A:$D,3,0)</f>
        <v>Service</v>
      </c>
      <c r="V428" s="152" t="str">
        <f>+VLOOKUP($L428,Data_Validation!$A:$D,4,0)</f>
        <v>salaires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1740</v>
      </c>
      <c r="B429" s="718" t="s">
        <v>962</v>
      </c>
      <c r="C429" s="720">
        <v>39799.75</v>
      </c>
      <c r="D429" s="720">
        <v>14705.29</v>
      </c>
      <c r="E429" s="720">
        <v>54505.04</v>
      </c>
      <c r="F429" s="718" t="s">
        <v>2229</v>
      </c>
      <c r="G429" s="718" t="s">
        <v>2269</v>
      </c>
      <c r="H429" s="673" t="s">
        <v>2971</v>
      </c>
      <c r="I429" s="672"/>
      <c r="J429" s="672"/>
      <c r="K429" s="672"/>
      <c r="L429" s="149" t="str">
        <f t="shared" si="30"/>
        <v>23G</v>
      </c>
      <c r="M429" s="150" t="str">
        <f t="shared" si="31"/>
        <v>SAL. AUTRES - PIECE BMW</v>
      </c>
      <c r="N429" s="151">
        <f>+IF(OR($Q429=Parametres!$G$2,$Q429=Parametres!$G$3),I429,C429)</f>
        <v>39799.75</v>
      </c>
      <c r="O429" s="151">
        <f>+IF(OR($Q429=Parametres!$G$2,$Q429=Parametres!$G$3),J429,D429)</f>
        <v>14705.29</v>
      </c>
      <c r="P429" s="151">
        <f>+IF(OR($Q429=Parametres!$G$2,$Q429=Parametres!$G$3),K429,E429)</f>
        <v>54505.04</v>
      </c>
      <c r="Q429" s="150" t="str">
        <f t="shared" si="32"/>
        <v>7-Dépenses</v>
      </c>
      <c r="R429" s="149" t="str">
        <f t="shared" si="33"/>
        <v>23</v>
      </c>
      <c r="S429" s="150" t="str">
        <f t="shared" si="34"/>
        <v>_</v>
      </c>
      <c r="T429" s="152" t="str">
        <f>+VLOOKUP($L429,Data_Validation!$A:$D,1,0)</f>
        <v>23G</v>
      </c>
      <c r="U429" s="152" t="str">
        <f>+VLOOKUP($L429,Data_Validation!$A:$D,3,0)</f>
        <v>Pièces</v>
      </c>
      <c r="V429" s="152" t="str">
        <f>+VLOOKUP($L429,Data_Validation!$A:$D,4,0)</f>
        <v>salaires autres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1703</v>
      </c>
      <c r="B430" s="718" t="s">
        <v>918</v>
      </c>
      <c r="C430" s="719">
        <v>24733.23</v>
      </c>
      <c r="D430" s="719">
        <v>9449.4599999999991</v>
      </c>
      <c r="E430" s="719">
        <v>34182.69</v>
      </c>
      <c r="F430" s="718" t="s">
        <v>2229</v>
      </c>
      <c r="G430" s="718" t="s">
        <v>2277</v>
      </c>
      <c r="H430" s="719" t="s">
        <v>2971</v>
      </c>
      <c r="I430" s="720"/>
      <c r="J430" s="720"/>
      <c r="K430" s="720"/>
      <c r="L430" s="149" t="str">
        <f t="shared" si="30"/>
        <v>24A</v>
      </c>
      <c r="M430" s="150" t="str">
        <f t="shared" si="31"/>
        <v>SAL. ABSENCE - NEUF BMW</v>
      </c>
      <c r="N430" s="151">
        <f>+IF(OR($Q430=Parametres!$G$2,$Q430=Parametres!$G$3),I430,C430)</f>
        <v>24733.23</v>
      </c>
      <c r="O430" s="151">
        <f>+IF(OR($Q430=Parametres!$G$2,$Q430=Parametres!$G$3),J430,D430)</f>
        <v>9449.4599999999991</v>
      </c>
      <c r="P430" s="151">
        <f>+IF(OR($Q430=Parametres!$G$2,$Q430=Parametres!$G$3),K430,E430)</f>
        <v>34182.69</v>
      </c>
      <c r="Q430" s="150" t="str">
        <f t="shared" si="32"/>
        <v>7-Dépenses</v>
      </c>
      <c r="R430" s="149" t="str">
        <f t="shared" si="33"/>
        <v>24</v>
      </c>
      <c r="S430" s="150" t="str">
        <f t="shared" si="34"/>
        <v>_</v>
      </c>
      <c r="T430" s="152" t="str">
        <f>+VLOOKUP($L430,Data_Validation!$A:$D,1,0)</f>
        <v>24A</v>
      </c>
      <c r="U430" s="152" t="str">
        <f>+VLOOKUP($L430,Data_Validation!$A:$D,3,0)</f>
        <v>Véhicules neufs</v>
      </c>
      <c r="V430" s="152" t="str">
        <f>+VLOOKUP($L430,Data_Validation!$A:$D,4,0)</f>
        <v>Salaires en absences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1212</v>
      </c>
      <c r="B431" s="718" t="s">
        <v>858</v>
      </c>
      <c r="C431" s="720">
        <v>11927.39</v>
      </c>
      <c r="D431" s="720">
        <v>4280.1400000000003</v>
      </c>
      <c r="E431" s="720">
        <v>16207.53</v>
      </c>
      <c r="F431" s="718" t="s">
        <v>2229</v>
      </c>
      <c r="G431" s="718" t="s">
        <v>2277</v>
      </c>
      <c r="H431" s="719" t="s">
        <v>2971</v>
      </c>
      <c r="I431" s="719"/>
      <c r="J431" s="719"/>
      <c r="K431" s="719"/>
      <c r="L431" s="149" t="str">
        <f t="shared" si="30"/>
        <v>24C</v>
      </c>
      <c r="M431" s="150" t="str">
        <f t="shared" si="31"/>
        <v>SAL. ABSENCE - USAGE BMW</v>
      </c>
      <c r="N431" s="151">
        <f>+IF(OR($Q431=Parametres!$G$2,$Q431=Parametres!$G$3),I431,C431)</f>
        <v>11927.39</v>
      </c>
      <c r="O431" s="151">
        <f>+IF(OR($Q431=Parametres!$G$2,$Q431=Parametres!$G$3),J431,D431)</f>
        <v>4280.1400000000003</v>
      </c>
      <c r="P431" s="151">
        <f>+IF(OR($Q431=Parametres!$G$2,$Q431=Parametres!$G$3),K431,E431)</f>
        <v>16207.53</v>
      </c>
      <c r="Q431" s="150" t="str">
        <f t="shared" si="32"/>
        <v>7-Dépenses</v>
      </c>
      <c r="R431" s="149" t="str">
        <f t="shared" si="33"/>
        <v>24</v>
      </c>
      <c r="S431" s="150" t="str">
        <f t="shared" si="34"/>
        <v>_</v>
      </c>
      <c r="T431" s="152" t="str">
        <f>+VLOOKUP($L431,Data_Validation!$A:$D,1,0)</f>
        <v>24C</v>
      </c>
      <c r="U431" s="152" t="str">
        <f>+VLOOKUP($L431,Data_Validation!$A:$D,3,0)</f>
        <v>Véhicules usagés</v>
      </c>
      <c r="V431" s="152" t="str">
        <f>+VLOOKUP($L431,Data_Validation!$A:$D,4,0)</f>
        <v>Salaires en absences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1742</v>
      </c>
      <c r="B432" s="718" t="s">
        <v>952</v>
      </c>
      <c r="C432" s="720">
        <v>22845.58</v>
      </c>
      <c r="D432" s="720">
        <v>10475.219999999999</v>
      </c>
      <c r="E432" s="720">
        <v>33320.800000000003</v>
      </c>
      <c r="F432" s="718" t="s">
        <v>2229</v>
      </c>
      <c r="G432" s="718" t="s">
        <v>2277</v>
      </c>
      <c r="H432" s="673" t="s">
        <v>2971</v>
      </c>
      <c r="I432" s="672"/>
      <c r="J432" s="672"/>
      <c r="K432" s="672"/>
      <c r="L432" s="149" t="str">
        <f t="shared" si="30"/>
        <v>24E</v>
      </c>
      <c r="M432" s="150" t="str">
        <f t="shared" si="31"/>
        <v>SAL. ABSENCE - SERV. BMW</v>
      </c>
      <c r="N432" s="151">
        <f>+IF(OR($Q432=Parametres!$G$2,$Q432=Parametres!$G$3),I432,C432)</f>
        <v>22845.58</v>
      </c>
      <c r="O432" s="151">
        <f>+IF(OR($Q432=Parametres!$G$2,$Q432=Parametres!$G$3),J432,D432)</f>
        <v>10475.219999999999</v>
      </c>
      <c r="P432" s="151">
        <f>+IF(OR($Q432=Parametres!$G$2,$Q432=Parametres!$G$3),K432,E432)</f>
        <v>33320.800000000003</v>
      </c>
      <c r="Q432" s="150" t="str">
        <f t="shared" si="32"/>
        <v>7-Dépenses</v>
      </c>
      <c r="R432" s="149" t="str">
        <f t="shared" si="33"/>
        <v>24</v>
      </c>
      <c r="S432" s="150" t="str">
        <f t="shared" si="34"/>
        <v>_</v>
      </c>
      <c r="T432" s="152" t="str">
        <f>+VLOOKUP($L432,Data_Validation!$A:$D,1,0)</f>
        <v>24E</v>
      </c>
      <c r="U432" s="152" t="str">
        <f>+VLOOKUP($L432,Data_Validation!$A:$D,3,0)</f>
        <v>Service</v>
      </c>
      <c r="V432" s="152" t="str">
        <f>+VLOOKUP($L432,Data_Validation!$A:$D,4,0)</f>
        <v>Salaires en absences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1218</v>
      </c>
      <c r="B433" s="718" t="s">
        <v>900</v>
      </c>
      <c r="C433" s="720">
        <v>7808.51</v>
      </c>
      <c r="D433" s="720">
        <v>2762.84</v>
      </c>
      <c r="E433" s="720">
        <v>10571.35</v>
      </c>
      <c r="F433" s="718" t="s">
        <v>2229</v>
      </c>
      <c r="G433" s="718" t="s">
        <v>2277</v>
      </c>
      <c r="H433" s="673" t="s">
        <v>2971</v>
      </c>
      <c r="I433" s="672"/>
      <c r="J433" s="672"/>
      <c r="K433" s="672"/>
      <c r="L433" s="149" t="str">
        <f t="shared" si="30"/>
        <v>24G</v>
      </c>
      <c r="M433" s="150" t="str">
        <f t="shared" si="31"/>
        <v>SAL. ABSENCE - PIECE BMW</v>
      </c>
      <c r="N433" s="151">
        <f>+IF(OR($Q433=Parametres!$G$2,$Q433=Parametres!$G$3),I433,C433)</f>
        <v>7808.51</v>
      </c>
      <c r="O433" s="151">
        <f>+IF(OR($Q433=Parametres!$G$2,$Q433=Parametres!$G$3),J433,D433)</f>
        <v>2762.84</v>
      </c>
      <c r="P433" s="151">
        <f>+IF(OR($Q433=Parametres!$G$2,$Q433=Parametres!$G$3),K433,E433)</f>
        <v>10571.35</v>
      </c>
      <c r="Q433" s="150" t="str">
        <f t="shared" si="32"/>
        <v>7-Dépenses</v>
      </c>
      <c r="R433" s="149" t="str">
        <f t="shared" si="33"/>
        <v>24</v>
      </c>
      <c r="S433" s="150" t="str">
        <f t="shared" si="34"/>
        <v>_</v>
      </c>
      <c r="T433" s="152" t="str">
        <f>+VLOOKUP($L433,Data_Validation!$A:$D,1,0)</f>
        <v>24G</v>
      </c>
      <c r="U433" s="152" t="str">
        <f>+VLOOKUP($L433,Data_Validation!$A:$D,3,0)</f>
        <v>Pièces</v>
      </c>
      <c r="V433" s="152" t="str">
        <f>+VLOOKUP($L433,Data_Validation!$A:$D,4,0)</f>
        <v>Salaires en absences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1793</v>
      </c>
      <c r="B434" s="718" t="s">
        <v>951</v>
      </c>
      <c r="C434" s="719">
        <v>31323.82</v>
      </c>
      <c r="D434" s="719">
        <v>11008.13</v>
      </c>
      <c r="E434" s="719">
        <v>42331.95</v>
      </c>
      <c r="F434" s="718" t="s">
        <v>2229</v>
      </c>
      <c r="G434" s="718" t="s">
        <v>2280</v>
      </c>
      <c r="H434" s="719" t="s">
        <v>2971</v>
      </c>
      <c r="I434" s="720"/>
      <c r="J434" s="720"/>
      <c r="K434" s="720"/>
      <c r="L434" s="149" t="str">
        <f t="shared" si="30"/>
        <v>25A</v>
      </c>
      <c r="M434" s="150" t="str">
        <f t="shared" si="31"/>
        <v>TAXES PAYE - NEUF BMW</v>
      </c>
      <c r="N434" s="151">
        <f>+IF(OR($Q434=Parametres!$G$2,$Q434=Parametres!$G$3),I434,C434)</f>
        <v>31323.82</v>
      </c>
      <c r="O434" s="151">
        <f>+IF(OR($Q434=Parametres!$G$2,$Q434=Parametres!$G$3),J434,D434)</f>
        <v>11008.13</v>
      </c>
      <c r="P434" s="151">
        <f>+IF(OR($Q434=Parametres!$G$2,$Q434=Parametres!$G$3),K434,E434)</f>
        <v>42331.95</v>
      </c>
      <c r="Q434" s="150" t="str">
        <f t="shared" si="32"/>
        <v>7-Dépenses</v>
      </c>
      <c r="R434" s="149" t="str">
        <f t="shared" si="33"/>
        <v>25</v>
      </c>
      <c r="S434" s="150" t="str">
        <f t="shared" si="34"/>
        <v>_</v>
      </c>
      <c r="T434" s="152" t="str">
        <f>+VLOOKUP($L434,Data_Validation!$A:$D,1,0)</f>
        <v>25A</v>
      </c>
      <c r="U434" s="152" t="str">
        <f>+VLOOKUP($L434,Data_Validation!$A:$D,3,0)</f>
        <v>Véhicules neufs</v>
      </c>
      <c r="V434" s="152" t="str">
        <f>+VLOOKUP($L434,Data_Validation!$A:$D,4,0)</f>
        <v>Déduction à la source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1709</v>
      </c>
      <c r="B435" s="718" t="s">
        <v>883</v>
      </c>
      <c r="C435" s="720">
        <v>12601</v>
      </c>
      <c r="D435" s="720">
        <v>4660.29</v>
      </c>
      <c r="E435" s="720">
        <v>17261.29</v>
      </c>
      <c r="F435" s="718" t="s">
        <v>2229</v>
      </c>
      <c r="G435" s="718" t="s">
        <v>2280</v>
      </c>
      <c r="H435" s="673" t="s">
        <v>2971</v>
      </c>
      <c r="I435" s="672"/>
      <c r="J435" s="672"/>
      <c r="K435" s="672"/>
      <c r="L435" s="149" t="str">
        <f t="shared" si="30"/>
        <v>25C</v>
      </c>
      <c r="M435" s="150" t="str">
        <f t="shared" si="31"/>
        <v>TAXES PAYE - USAGE BMW</v>
      </c>
      <c r="N435" s="151">
        <f>+IF(OR($Q435=Parametres!$G$2,$Q435=Parametres!$G$3),I435,C435)</f>
        <v>12601</v>
      </c>
      <c r="O435" s="151">
        <f>+IF(OR($Q435=Parametres!$G$2,$Q435=Parametres!$G$3),J435,D435)</f>
        <v>4660.29</v>
      </c>
      <c r="P435" s="151">
        <f>+IF(OR($Q435=Parametres!$G$2,$Q435=Parametres!$G$3),K435,E435)</f>
        <v>17261.29</v>
      </c>
      <c r="Q435" s="150" t="str">
        <f t="shared" si="32"/>
        <v>7-Dépenses</v>
      </c>
      <c r="R435" s="149" t="str">
        <f t="shared" si="33"/>
        <v>25</v>
      </c>
      <c r="S435" s="150" t="str">
        <f t="shared" si="34"/>
        <v>_</v>
      </c>
      <c r="T435" s="152" t="str">
        <f>+VLOOKUP($L435,Data_Validation!$A:$D,1,0)</f>
        <v>25C</v>
      </c>
      <c r="U435" s="152" t="str">
        <f>+VLOOKUP($L435,Data_Validation!$A:$D,3,0)</f>
        <v>Véhicules usagés</v>
      </c>
      <c r="V435" s="152" t="str">
        <f>+VLOOKUP($L435,Data_Validation!$A:$D,4,0)</f>
        <v>Déduction à la source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1757</v>
      </c>
      <c r="B436" s="718" t="s">
        <v>947</v>
      </c>
      <c r="C436" s="719">
        <v>34651.06</v>
      </c>
      <c r="D436" s="719">
        <v>15236.5</v>
      </c>
      <c r="E436" s="719">
        <v>49887.56</v>
      </c>
      <c r="F436" s="718" t="s">
        <v>2229</v>
      </c>
      <c r="G436" s="718" t="s">
        <v>2280</v>
      </c>
      <c r="H436" s="719" t="s">
        <v>2971</v>
      </c>
      <c r="I436" s="720"/>
      <c r="J436" s="720"/>
      <c r="K436" s="720"/>
      <c r="L436" s="149" t="str">
        <f t="shared" si="30"/>
        <v>25E</v>
      </c>
      <c r="M436" s="150" t="str">
        <f t="shared" si="31"/>
        <v>TAXES PAYE - SERV. BMW</v>
      </c>
      <c r="N436" s="151">
        <f>+IF(OR($Q436=Parametres!$G$2,$Q436=Parametres!$G$3),I436,C436)</f>
        <v>34651.06</v>
      </c>
      <c r="O436" s="151">
        <f>+IF(OR($Q436=Parametres!$G$2,$Q436=Parametres!$G$3),J436,D436)</f>
        <v>15236.5</v>
      </c>
      <c r="P436" s="151">
        <f>+IF(OR($Q436=Parametres!$G$2,$Q436=Parametres!$G$3),K436,E436)</f>
        <v>49887.56</v>
      </c>
      <c r="Q436" s="150" t="str">
        <f t="shared" si="32"/>
        <v>7-Dépenses</v>
      </c>
      <c r="R436" s="149" t="str">
        <f t="shared" si="33"/>
        <v>25</v>
      </c>
      <c r="S436" s="150" t="str">
        <f t="shared" si="34"/>
        <v>_</v>
      </c>
      <c r="T436" s="152" t="str">
        <f>+VLOOKUP($L436,Data_Validation!$A:$D,1,0)</f>
        <v>25E</v>
      </c>
      <c r="U436" s="152" t="str">
        <f>+VLOOKUP($L436,Data_Validation!$A:$D,3,0)</f>
        <v>Service</v>
      </c>
      <c r="V436" s="152" t="str">
        <f>+VLOOKUP($L436,Data_Validation!$A:$D,4,0)</f>
        <v>Déduction à la source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1745</v>
      </c>
      <c r="B437" s="718" t="s">
        <v>902</v>
      </c>
      <c r="C437" s="720">
        <v>10899.4</v>
      </c>
      <c r="D437" s="720">
        <v>3493.23</v>
      </c>
      <c r="E437" s="720">
        <v>14392.63</v>
      </c>
      <c r="F437" s="718" t="s">
        <v>2229</v>
      </c>
      <c r="G437" s="718" t="s">
        <v>2280</v>
      </c>
      <c r="H437" s="673" t="s">
        <v>2971</v>
      </c>
      <c r="I437" s="672"/>
      <c r="J437" s="672"/>
      <c r="K437" s="672"/>
      <c r="L437" s="149" t="str">
        <f t="shared" si="30"/>
        <v>25G</v>
      </c>
      <c r="M437" s="150" t="str">
        <f t="shared" si="31"/>
        <v>TAXES PAYE - PIECE BMW</v>
      </c>
      <c r="N437" s="151">
        <f>+IF(OR($Q437=Parametres!$G$2,$Q437=Parametres!$G$3),I437,C437)</f>
        <v>10899.4</v>
      </c>
      <c r="O437" s="151">
        <f>+IF(OR($Q437=Parametres!$G$2,$Q437=Parametres!$G$3),J437,D437)</f>
        <v>3493.23</v>
      </c>
      <c r="P437" s="151">
        <f>+IF(OR($Q437=Parametres!$G$2,$Q437=Parametres!$G$3),K437,E437)</f>
        <v>14392.63</v>
      </c>
      <c r="Q437" s="150" t="str">
        <f t="shared" si="32"/>
        <v>7-Dépenses</v>
      </c>
      <c r="R437" s="149" t="str">
        <f t="shared" si="33"/>
        <v>25</v>
      </c>
      <c r="S437" s="150" t="str">
        <f t="shared" si="34"/>
        <v>_</v>
      </c>
      <c r="T437" s="152" t="str">
        <f>+VLOOKUP($L437,Data_Validation!$A:$D,1,0)</f>
        <v>25G</v>
      </c>
      <c r="U437" s="152" t="str">
        <f>+VLOOKUP($L437,Data_Validation!$A:$D,3,0)</f>
        <v>Pièces</v>
      </c>
      <c r="V437" s="152" t="str">
        <f>+VLOOKUP($L437,Data_Validation!$A:$D,4,0)</f>
        <v>Déduction à la source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1781</v>
      </c>
      <c r="B438" s="718" t="s">
        <v>955</v>
      </c>
      <c r="C438" s="719">
        <v>37529.5</v>
      </c>
      <c r="D438" s="719">
        <v>16301.36</v>
      </c>
      <c r="E438" s="719">
        <v>53830.86</v>
      </c>
      <c r="F438" s="718" t="s">
        <v>2229</v>
      </c>
      <c r="G438" s="718" t="s">
        <v>2295</v>
      </c>
      <c r="H438" s="719" t="s">
        <v>2971</v>
      </c>
      <c r="I438" s="720"/>
      <c r="J438" s="720"/>
      <c r="K438" s="720"/>
      <c r="L438" s="149" t="str">
        <f t="shared" si="30"/>
        <v>26E</v>
      </c>
      <c r="M438" s="150" t="str">
        <f t="shared" si="31"/>
        <v>SAL. SPECIALISTES - SERV. BMW</v>
      </c>
      <c r="N438" s="151">
        <f>+IF(OR($Q438=Parametres!$G$2,$Q438=Parametres!$G$3),I438,C438)</f>
        <v>37529.5</v>
      </c>
      <c r="O438" s="151">
        <f>+IF(OR($Q438=Parametres!$G$2,$Q438=Parametres!$G$3),J438,D438)</f>
        <v>16301.36</v>
      </c>
      <c r="P438" s="151">
        <f>+IF(OR($Q438=Parametres!$G$2,$Q438=Parametres!$G$3),K438,E438)</f>
        <v>53830.86</v>
      </c>
      <c r="Q438" s="150" t="str">
        <f t="shared" si="32"/>
        <v>7-Dépenses</v>
      </c>
      <c r="R438" s="149" t="str">
        <f t="shared" si="33"/>
        <v>26</v>
      </c>
      <c r="S438" s="150" t="str">
        <f t="shared" si="34"/>
        <v>_</v>
      </c>
      <c r="T438" s="152" t="str">
        <f>+VLOOKUP($L438,Data_Validation!$A:$D,1,0)</f>
        <v>26E</v>
      </c>
      <c r="U438" s="152" t="str">
        <f>+VLOOKUP($L438,Data_Validation!$A:$D,3,0)</f>
        <v>Service</v>
      </c>
      <c r="V438" s="152" t="str">
        <f>+VLOOKUP($L438,Data_Validation!$A:$D,4,0)</f>
        <v>Salaires spécialistes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1795</v>
      </c>
      <c r="B439" s="718" t="s">
        <v>914</v>
      </c>
      <c r="C439" s="720">
        <v>13642.26</v>
      </c>
      <c r="D439" s="720">
        <v>4701.09</v>
      </c>
      <c r="E439" s="720">
        <v>18343.349999999999</v>
      </c>
      <c r="F439" s="718" t="s">
        <v>2229</v>
      </c>
      <c r="G439" s="718" t="s">
        <v>2274</v>
      </c>
      <c r="H439" s="673" t="s">
        <v>2971</v>
      </c>
      <c r="I439" s="672"/>
      <c r="J439" s="672"/>
      <c r="K439" s="672"/>
      <c r="L439" s="149" t="str">
        <f t="shared" si="30"/>
        <v>27A</v>
      </c>
      <c r="M439" s="150" t="str">
        <f t="shared" si="31"/>
        <v>AVANT. SOCIAUX - NEUF BMW</v>
      </c>
      <c r="N439" s="151">
        <f>+IF(OR($Q439=Parametres!$G$2,$Q439=Parametres!$G$3),I439,C439)</f>
        <v>13642.26</v>
      </c>
      <c r="O439" s="504">
        <f>+IF(OR($Q439=Parametres!$G$2,$Q439=Parametres!$G$3),J439,D439)</f>
        <v>4701.09</v>
      </c>
      <c r="P439" s="151">
        <f>+IF(OR($Q439=Parametres!$G$2,$Q439=Parametres!$G$3),K439,E439)</f>
        <v>18343.349999999999</v>
      </c>
      <c r="Q439" s="150" t="str">
        <f t="shared" si="32"/>
        <v>7-Dépenses</v>
      </c>
      <c r="R439" s="149" t="str">
        <f t="shared" si="33"/>
        <v>27</v>
      </c>
      <c r="S439" s="150" t="str">
        <f t="shared" si="34"/>
        <v>_</v>
      </c>
      <c r="T439" s="152" t="str">
        <f>+VLOOKUP($L439,Data_Validation!$A:$D,1,0)</f>
        <v>27A</v>
      </c>
      <c r="U439" s="152" t="str">
        <f>+VLOOKUP($L439,Data_Validation!$A:$D,3,0)</f>
        <v>Véhicules neufs</v>
      </c>
      <c r="V439" s="152" t="str">
        <f>+VLOOKUP($L439,Data_Validation!$A:$D,4,0)</f>
        <v>Bénéfices marginaux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1712</v>
      </c>
      <c r="B440" s="718" t="s">
        <v>852</v>
      </c>
      <c r="C440" s="720">
        <v>6510.52</v>
      </c>
      <c r="D440" s="720">
        <v>2248.29</v>
      </c>
      <c r="E440" s="720">
        <v>8758.81</v>
      </c>
      <c r="F440" s="718" t="s">
        <v>2229</v>
      </c>
      <c r="G440" s="718" t="s">
        <v>2274</v>
      </c>
      <c r="H440" s="673" t="s">
        <v>2971</v>
      </c>
      <c r="I440" s="672"/>
      <c r="J440" s="672"/>
      <c r="K440" s="672"/>
      <c r="L440" s="149" t="str">
        <f t="shared" si="30"/>
        <v>27C</v>
      </c>
      <c r="M440" s="150" t="str">
        <f t="shared" si="31"/>
        <v>AVANT. SOCIAUX - USAGE BMW</v>
      </c>
      <c r="N440" s="151">
        <f>+IF(OR($Q440=Parametres!$G$2,$Q440=Parametres!$G$3),I440,C440)</f>
        <v>6510.52</v>
      </c>
      <c r="O440" s="151">
        <f>+IF(OR($Q440=Parametres!$G$2,$Q440=Parametres!$G$3),J440,D440)</f>
        <v>2248.29</v>
      </c>
      <c r="P440" s="151">
        <f>+IF(OR($Q440=Parametres!$G$2,$Q440=Parametres!$G$3),K440,E440)</f>
        <v>8758.81</v>
      </c>
      <c r="Q440" s="150" t="str">
        <f t="shared" si="32"/>
        <v>7-Dépenses</v>
      </c>
      <c r="R440" s="149" t="str">
        <f t="shared" si="33"/>
        <v>27</v>
      </c>
      <c r="S440" s="150" t="str">
        <f t="shared" si="34"/>
        <v>_</v>
      </c>
      <c r="T440" s="152" t="str">
        <f>+VLOOKUP($L440,Data_Validation!$A:$D,1,0)</f>
        <v>27C</v>
      </c>
      <c r="U440" s="152" t="str">
        <f>+VLOOKUP($L440,Data_Validation!$A:$D,3,0)</f>
        <v>Véhicules usagés</v>
      </c>
      <c r="V440" s="152" t="str">
        <f>+VLOOKUP($L440,Data_Validation!$A:$D,4,0)</f>
        <v>Bénéfices marginaux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1758</v>
      </c>
      <c r="B441" s="718" t="s">
        <v>948</v>
      </c>
      <c r="C441" s="719">
        <v>14248.64</v>
      </c>
      <c r="D441" s="719">
        <v>6154.09</v>
      </c>
      <c r="E441" s="719">
        <v>20402.73</v>
      </c>
      <c r="F441" s="718" t="s">
        <v>2229</v>
      </c>
      <c r="G441" s="718" t="s">
        <v>2274</v>
      </c>
      <c r="H441" s="719" t="s">
        <v>2971</v>
      </c>
      <c r="I441" s="720"/>
      <c r="J441" s="720"/>
      <c r="K441" s="720"/>
      <c r="L441" s="149" t="str">
        <f t="shared" si="30"/>
        <v>27E</v>
      </c>
      <c r="M441" s="150" t="str">
        <f t="shared" si="31"/>
        <v>AVANT. SOCIAUX - SERV. BMW</v>
      </c>
      <c r="N441" s="151">
        <f>+IF(OR($Q441=Parametres!$G$2,$Q441=Parametres!$G$3),I441,C441)</f>
        <v>14248.64</v>
      </c>
      <c r="O441" s="151">
        <f>+IF(OR($Q441=Parametres!$G$2,$Q441=Parametres!$G$3),J441,D441)</f>
        <v>6154.09</v>
      </c>
      <c r="P441" s="151">
        <f>+IF(OR($Q441=Parametres!$G$2,$Q441=Parametres!$G$3),K441,E441)</f>
        <v>20402.73</v>
      </c>
      <c r="Q441" s="150" t="str">
        <f t="shared" si="32"/>
        <v>7-Dépenses</v>
      </c>
      <c r="R441" s="149" t="str">
        <f t="shared" si="33"/>
        <v>27</v>
      </c>
      <c r="S441" s="150" t="str">
        <f t="shared" si="34"/>
        <v>_</v>
      </c>
      <c r="T441" s="152" t="str">
        <f>+VLOOKUP($L441,Data_Validation!$A:$D,1,0)</f>
        <v>27E</v>
      </c>
      <c r="U441" s="152" t="str">
        <f>+VLOOKUP($L441,Data_Validation!$A:$D,3,0)</f>
        <v>Service</v>
      </c>
      <c r="V441" s="152" t="str">
        <f>+VLOOKUP($L441,Data_Validation!$A:$D,4,0)</f>
        <v>Bénéfices marginaux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1749</v>
      </c>
      <c r="B442" s="718" t="s">
        <v>904</v>
      </c>
      <c r="C442" s="720">
        <v>5233.22</v>
      </c>
      <c r="D442" s="720">
        <v>1800.74</v>
      </c>
      <c r="E442" s="720">
        <v>7033.96</v>
      </c>
      <c r="F442" s="718" t="s">
        <v>2229</v>
      </c>
      <c r="G442" s="718" t="s">
        <v>2274</v>
      </c>
      <c r="H442" s="673" t="s">
        <v>2971</v>
      </c>
      <c r="I442" s="672"/>
      <c r="J442" s="672"/>
      <c r="K442" s="672"/>
      <c r="L442" s="149" t="str">
        <f t="shared" si="30"/>
        <v>27G</v>
      </c>
      <c r="M442" s="150" t="str">
        <f t="shared" si="31"/>
        <v>AVANT. SOCIAUX - PIECE BMW</v>
      </c>
      <c r="N442" s="151">
        <f>+IF(OR($Q442=Parametres!$G$2,$Q442=Parametres!$G$3),I442,C442)</f>
        <v>5233.22</v>
      </c>
      <c r="O442" s="151">
        <f>+IF(OR($Q442=Parametres!$G$2,$Q442=Parametres!$G$3),J442,D442)</f>
        <v>1800.74</v>
      </c>
      <c r="P442" s="151">
        <f>+IF(OR($Q442=Parametres!$G$2,$Q442=Parametres!$G$3),K442,E442)</f>
        <v>7033.96</v>
      </c>
      <c r="Q442" s="150" t="str">
        <f t="shared" si="32"/>
        <v>7-Dépenses</v>
      </c>
      <c r="R442" s="149" t="str">
        <f t="shared" si="33"/>
        <v>27</v>
      </c>
      <c r="S442" s="150" t="str">
        <f t="shared" si="34"/>
        <v>_</v>
      </c>
      <c r="T442" s="152" t="str">
        <f>+VLOOKUP($L442,Data_Validation!$A:$D,1,0)</f>
        <v>27G</v>
      </c>
      <c r="U442" s="152" t="str">
        <f>+VLOOKUP($L442,Data_Validation!$A:$D,3,0)</f>
        <v>Pièces</v>
      </c>
      <c r="V442" s="152" t="str">
        <f>+VLOOKUP($L442,Data_Validation!$A:$D,4,0)</f>
        <v>Bénéfices marginaux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1786</v>
      </c>
      <c r="B443" s="718" t="s">
        <v>859</v>
      </c>
      <c r="C443" s="720">
        <v>4073.57</v>
      </c>
      <c r="D443" s="720">
        <v>1835.54</v>
      </c>
      <c r="E443" s="720">
        <v>5909.11</v>
      </c>
      <c r="F443" s="718" t="s">
        <v>2229</v>
      </c>
      <c r="G443" s="718" t="s">
        <v>2265</v>
      </c>
      <c r="H443" s="673" t="s">
        <v>2971</v>
      </c>
      <c r="I443" s="672"/>
      <c r="J443" s="672"/>
      <c r="K443" s="672"/>
      <c r="L443" s="149" t="str">
        <f t="shared" si="30"/>
        <v>29A</v>
      </c>
      <c r="M443" s="150" t="str">
        <f t="shared" si="31"/>
        <v>FONDS PENSIONS - NEUF BMW</v>
      </c>
      <c r="N443" s="151">
        <f>+IF(OR($Q443=Parametres!$G$2,$Q443=Parametres!$G$3),I443,C443)</f>
        <v>4073.57</v>
      </c>
      <c r="O443" s="151">
        <f>+IF(OR($Q443=Parametres!$G$2,$Q443=Parametres!$G$3),J443,D443)</f>
        <v>1835.54</v>
      </c>
      <c r="P443" s="151">
        <f>+IF(OR($Q443=Parametres!$G$2,$Q443=Parametres!$G$3),K443,E443)</f>
        <v>5909.11</v>
      </c>
      <c r="Q443" s="150" t="str">
        <f t="shared" si="32"/>
        <v>7-Dépenses</v>
      </c>
      <c r="R443" s="149" t="str">
        <f t="shared" si="33"/>
        <v>29</v>
      </c>
      <c r="S443" s="150" t="str">
        <f t="shared" si="34"/>
        <v>_</v>
      </c>
      <c r="T443" s="152" t="str">
        <f>+VLOOKUP($L443,Data_Validation!$A:$D,1,0)</f>
        <v>29A</v>
      </c>
      <c r="U443" s="152" t="str">
        <f>+VLOOKUP($L443,Data_Validation!$A:$D,3,0)</f>
        <v>Véhicules neufs</v>
      </c>
      <c r="V443" s="152" t="str">
        <f>+VLOOKUP($L443,Data_Validation!$A:$D,4,0)</f>
        <v>csst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1702</v>
      </c>
      <c r="B444" s="718" t="s">
        <v>815</v>
      </c>
      <c r="C444" s="720">
        <v>1906.97</v>
      </c>
      <c r="D444" s="720">
        <v>798.12</v>
      </c>
      <c r="E444" s="720">
        <v>2705.09</v>
      </c>
      <c r="F444" s="718" t="s">
        <v>2229</v>
      </c>
      <c r="G444" s="718" t="s">
        <v>2265</v>
      </c>
      <c r="H444" s="673" t="s">
        <v>2971</v>
      </c>
      <c r="I444" s="672"/>
      <c r="J444" s="672"/>
      <c r="K444" s="672"/>
      <c r="L444" s="149" t="str">
        <f t="shared" si="30"/>
        <v>29C</v>
      </c>
      <c r="M444" s="150" t="str">
        <f t="shared" si="31"/>
        <v>FONDS PENSIONS - USAGE BMW</v>
      </c>
      <c r="N444" s="151">
        <f>+IF(OR($Q444=Parametres!$G$2,$Q444=Parametres!$G$3),I444,C444)</f>
        <v>1906.97</v>
      </c>
      <c r="O444" s="151">
        <f>+IF(OR($Q444=Parametres!$G$2,$Q444=Parametres!$G$3),J444,D444)</f>
        <v>798.12</v>
      </c>
      <c r="P444" s="151">
        <f>+IF(OR($Q444=Parametres!$G$2,$Q444=Parametres!$G$3),K444,E444)</f>
        <v>2705.09</v>
      </c>
      <c r="Q444" s="150" t="str">
        <f t="shared" si="32"/>
        <v>7-Dépenses</v>
      </c>
      <c r="R444" s="149" t="str">
        <f t="shared" si="33"/>
        <v>29</v>
      </c>
      <c r="S444" s="150" t="str">
        <f t="shared" si="34"/>
        <v>_</v>
      </c>
      <c r="T444" s="152" t="str">
        <f>+VLOOKUP($L444,Data_Validation!$A:$D,1,0)</f>
        <v>29C</v>
      </c>
      <c r="U444" s="152" t="str">
        <f>+VLOOKUP($L444,Data_Validation!$A:$D,3,0)</f>
        <v>Véhicules usagés</v>
      </c>
      <c r="V444" s="152" t="str">
        <f>+VLOOKUP($L444,Data_Validation!$A:$D,4,0)</f>
        <v>csst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1744</v>
      </c>
      <c r="B445" s="718" t="s">
        <v>838</v>
      </c>
      <c r="C445" s="719">
        <v>5258.53</v>
      </c>
      <c r="D445" s="719">
        <v>2555.58</v>
      </c>
      <c r="E445" s="719">
        <v>7814.11</v>
      </c>
      <c r="F445" s="718" t="s">
        <v>2229</v>
      </c>
      <c r="G445" s="718" t="s">
        <v>2265</v>
      </c>
      <c r="H445" s="719" t="s">
        <v>2971</v>
      </c>
      <c r="I445" s="720"/>
      <c r="J445" s="720"/>
      <c r="K445" s="720"/>
      <c r="L445" s="149" t="str">
        <f t="shared" si="30"/>
        <v>29E</v>
      </c>
      <c r="M445" s="150" t="str">
        <f t="shared" si="31"/>
        <v>FONDS PENSIONS - SERV. BMW</v>
      </c>
      <c r="N445" s="151">
        <f>+IF(OR($Q445=Parametres!$G$2,$Q445=Parametres!$G$3),I445,C445)</f>
        <v>5258.53</v>
      </c>
      <c r="O445" s="151">
        <f>+IF(OR($Q445=Parametres!$G$2,$Q445=Parametres!$G$3),J445,D445)</f>
        <v>2555.58</v>
      </c>
      <c r="P445" s="151">
        <f>+IF(OR($Q445=Parametres!$G$2,$Q445=Parametres!$G$3),K445,E445)</f>
        <v>7814.11</v>
      </c>
      <c r="Q445" s="150" t="str">
        <f t="shared" si="32"/>
        <v>7-Dépenses</v>
      </c>
      <c r="R445" s="149" t="str">
        <f t="shared" si="33"/>
        <v>29</v>
      </c>
      <c r="S445" s="150" t="str">
        <f t="shared" si="34"/>
        <v>_</v>
      </c>
      <c r="T445" s="152" t="str">
        <f>+VLOOKUP($L445,Data_Validation!$A:$D,1,0)</f>
        <v>29E</v>
      </c>
      <c r="U445" s="152" t="str">
        <f>+VLOOKUP($L445,Data_Validation!$A:$D,3,0)</f>
        <v>Service</v>
      </c>
      <c r="V445" s="152" t="str">
        <f>+VLOOKUP($L445,Data_Validation!$A:$D,4,0)</f>
        <v>csst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1739</v>
      </c>
      <c r="B446" s="718" t="s">
        <v>830</v>
      </c>
      <c r="C446" s="720">
        <v>1270.53</v>
      </c>
      <c r="D446" s="720">
        <v>567.48</v>
      </c>
      <c r="E446" s="720">
        <v>1838.01</v>
      </c>
      <c r="F446" s="718" t="s">
        <v>2229</v>
      </c>
      <c r="G446" s="718" t="s">
        <v>2265</v>
      </c>
      <c r="H446" s="673" t="s">
        <v>2971</v>
      </c>
      <c r="I446" s="672"/>
      <c r="J446" s="672"/>
      <c r="K446" s="672"/>
      <c r="L446" s="149" t="str">
        <f t="shared" si="30"/>
        <v>29G</v>
      </c>
      <c r="M446" s="150" t="str">
        <f t="shared" si="31"/>
        <v>FONDS PENSIONS - PIECE BMW</v>
      </c>
      <c r="N446" s="151">
        <f>+IF(OR($Q446=Parametres!$G$2,$Q446=Parametres!$G$3),I446,C446)</f>
        <v>1270.53</v>
      </c>
      <c r="O446" s="151">
        <f>+IF(OR($Q446=Parametres!$G$2,$Q446=Parametres!$G$3),J446,D446)</f>
        <v>567.48</v>
      </c>
      <c r="P446" s="151">
        <f>+IF(OR($Q446=Parametres!$G$2,$Q446=Parametres!$G$3),K446,E446)</f>
        <v>1838.01</v>
      </c>
      <c r="Q446" s="150" t="str">
        <f t="shared" si="32"/>
        <v>7-Dépenses</v>
      </c>
      <c r="R446" s="149" t="str">
        <f t="shared" si="33"/>
        <v>29</v>
      </c>
      <c r="S446" s="150" t="str">
        <f t="shared" si="34"/>
        <v>_</v>
      </c>
      <c r="T446" s="152" t="str">
        <f>+VLOOKUP($L446,Data_Validation!$A:$D,1,0)</f>
        <v>29G</v>
      </c>
      <c r="U446" s="152" t="str">
        <f>+VLOOKUP($L446,Data_Validation!$A:$D,3,0)</f>
        <v>Pièces</v>
      </c>
      <c r="V446" s="152" t="str">
        <f>+VLOOKUP($L446,Data_Validation!$A:$D,4,0)</f>
        <v>csst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1873</v>
      </c>
      <c r="B447" s="718" t="s">
        <v>781</v>
      </c>
      <c r="C447" s="720">
        <v>62.91</v>
      </c>
      <c r="D447" s="720">
        <v>297</v>
      </c>
      <c r="E447" s="720">
        <v>359.91</v>
      </c>
      <c r="F447" s="718" t="s">
        <v>2229</v>
      </c>
      <c r="G447" s="718" t="s">
        <v>2262</v>
      </c>
      <c r="H447" s="673" t="s">
        <v>2971</v>
      </c>
      <c r="I447" s="673"/>
      <c r="J447" s="673"/>
      <c r="K447" s="673"/>
      <c r="L447" s="149" t="str">
        <f t="shared" si="30"/>
        <v>51A</v>
      </c>
      <c r="M447" s="150" t="str">
        <f t="shared" si="31"/>
        <v>UNIFORMES - NEUF BMW</v>
      </c>
      <c r="N447" s="151">
        <f>+IF(OR($Q447=Parametres!$G$2,$Q447=Parametres!$G$3),I447,C447)</f>
        <v>62.91</v>
      </c>
      <c r="O447" s="151">
        <f>+IF(OR($Q447=Parametres!$G$2,$Q447=Parametres!$G$3),J447,D447)</f>
        <v>297</v>
      </c>
      <c r="P447" s="151">
        <f>+IF(OR($Q447=Parametres!$G$2,$Q447=Parametres!$G$3),K447,E447)</f>
        <v>359.91</v>
      </c>
      <c r="Q447" s="150" t="str">
        <f t="shared" si="32"/>
        <v>7-Dépenses</v>
      </c>
      <c r="R447" s="149" t="str">
        <f t="shared" si="33"/>
        <v>51</v>
      </c>
      <c r="S447" s="150" t="str">
        <f t="shared" si="34"/>
        <v>_</v>
      </c>
      <c r="T447" s="152" t="str">
        <f>+VLOOKUP($L447,Data_Validation!$A:$D,1,0)</f>
        <v>51A</v>
      </c>
      <c r="U447" s="152" t="str">
        <f>+VLOOKUP($L447,Data_Validation!$A:$D,3,0)</f>
        <v>Véhicules neufs</v>
      </c>
      <c r="V447" s="152" t="str">
        <f>+VLOOKUP($L447,Data_Validation!$A:$D,4,0)</f>
        <v>Uniformes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1874</v>
      </c>
      <c r="B448" s="718" t="s">
        <v>769</v>
      </c>
      <c r="C448" s="720">
        <v>13.98</v>
      </c>
      <c r="D448" s="720">
        <v>66</v>
      </c>
      <c r="E448" s="720">
        <v>79.98</v>
      </c>
      <c r="F448" s="718" t="s">
        <v>2229</v>
      </c>
      <c r="G448" s="718" t="s">
        <v>2262</v>
      </c>
      <c r="H448" s="673" t="s">
        <v>2971</v>
      </c>
      <c r="I448" s="672"/>
      <c r="J448" s="672"/>
      <c r="K448" s="672"/>
      <c r="L448" s="149" t="str">
        <f t="shared" si="30"/>
        <v>51C</v>
      </c>
      <c r="M448" s="150" t="str">
        <f t="shared" si="31"/>
        <v>UNIFORMES - USAGE BMW</v>
      </c>
      <c r="N448" s="151">
        <f>+IF(OR($Q448=Parametres!$G$2,$Q448=Parametres!$G$3),I448,C448)</f>
        <v>13.98</v>
      </c>
      <c r="O448" s="151">
        <f>+IF(OR($Q448=Parametres!$G$2,$Q448=Parametres!$G$3),J448,D448)</f>
        <v>66</v>
      </c>
      <c r="P448" s="151">
        <f>+IF(OR($Q448=Parametres!$G$2,$Q448=Parametres!$G$3),K448,E448)</f>
        <v>79.98</v>
      </c>
      <c r="Q448" s="150" t="str">
        <f t="shared" si="32"/>
        <v>7-Dépenses</v>
      </c>
      <c r="R448" s="149" t="str">
        <f t="shared" si="33"/>
        <v>51</v>
      </c>
      <c r="S448" s="150" t="str">
        <f t="shared" si="34"/>
        <v>_</v>
      </c>
      <c r="T448" s="152" t="str">
        <f>+VLOOKUP($L448,Data_Validation!$A:$D,1,0)</f>
        <v>51C</v>
      </c>
      <c r="U448" s="152" t="str">
        <f>+VLOOKUP($L448,Data_Validation!$A:$D,3,0)</f>
        <v>Véhicules usagés</v>
      </c>
      <c r="V448" s="152" t="str">
        <f>+VLOOKUP($L448,Data_Validation!$A:$D,4,0)</f>
        <v>Uniformes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1677</v>
      </c>
      <c r="B449" s="718" t="s">
        <v>908</v>
      </c>
      <c r="C449" s="720">
        <v>4800.18</v>
      </c>
      <c r="D449" s="720">
        <v>1706.96</v>
      </c>
      <c r="E449" s="720">
        <v>6507.14</v>
      </c>
      <c r="F449" s="718" t="s">
        <v>2229</v>
      </c>
      <c r="G449" s="718" t="s">
        <v>2262</v>
      </c>
      <c r="H449" s="673" t="s">
        <v>2971</v>
      </c>
      <c r="I449" s="672"/>
      <c r="J449" s="672"/>
      <c r="K449" s="672"/>
      <c r="L449" s="149" t="str">
        <f t="shared" si="30"/>
        <v>51E</v>
      </c>
      <c r="M449" s="150" t="str">
        <f t="shared" si="31"/>
        <v>UNIFORMES - SERV. BMW</v>
      </c>
      <c r="N449" s="151">
        <f>+IF(OR($Q449=Parametres!$G$2,$Q449=Parametres!$G$3),I449,C449)</f>
        <v>4800.18</v>
      </c>
      <c r="O449" s="151">
        <f>+IF(OR($Q449=Parametres!$G$2,$Q449=Parametres!$G$3),J449,D449)</f>
        <v>1706.96</v>
      </c>
      <c r="P449" s="151">
        <f>+IF(OR($Q449=Parametres!$G$2,$Q449=Parametres!$G$3),K449,E449)</f>
        <v>6507.14</v>
      </c>
      <c r="Q449" s="150" t="str">
        <f t="shared" si="32"/>
        <v>7-Dépenses</v>
      </c>
      <c r="R449" s="149" t="str">
        <f t="shared" si="33"/>
        <v>51</v>
      </c>
      <c r="S449" s="150" t="str">
        <f t="shared" si="34"/>
        <v>_</v>
      </c>
      <c r="T449" s="152" t="str">
        <f>+VLOOKUP($L449,Data_Validation!$A:$D,1,0)</f>
        <v>51E</v>
      </c>
      <c r="U449" s="152" t="str">
        <f>+VLOOKUP($L449,Data_Validation!$A:$D,3,0)</f>
        <v>Service</v>
      </c>
      <c r="V449" s="152" t="str">
        <f>+VLOOKUP($L449,Data_Validation!$A:$D,4,0)</f>
        <v>Uniformes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1664</v>
      </c>
      <c r="B450" s="718" t="s">
        <v>772</v>
      </c>
      <c r="C450" s="720">
        <v>27.96</v>
      </c>
      <c r="D450" s="720">
        <v>132</v>
      </c>
      <c r="E450" s="720">
        <v>159.96</v>
      </c>
      <c r="F450" s="718" t="s">
        <v>2229</v>
      </c>
      <c r="G450" s="718" t="s">
        <v>2262</v>
      </c>
      <c r="H450" s="673" t="s">
        <v>2971</v>
      </c>
      <c r="I450" s="672"/>
      <c r="J450" s="672"/>
      <c r="K450" s="672"/>
      <c r="L450" s="149" t="str">
        <f t="shared" ref="L450:L513" si="35">+B450</f>
        <v>51G</v>
      </c>
      <c r="M450" s="150" t="str">
        <f t="shared" ref="M450:M513" si="36">+A450</f>
        <v>UNIFOMRES - PIECE BMW</v>
      </c>
      <c r="N450" s="151">
        <f>+IF(OR($Q450=Parametres!$G$2,$Q450=Parametres!$G$3),I450,C450)</f>
        <v>27.96</v>
      </c>
      <c r="O450" s="151">
        <f>+IF(OR($Q450=Parametres!$G$2,$Q450=Parametres!$G$3),J450,D450)</f>
        <v>132</v>
      </c>
      <c r="P450" s="151">
        <f>+IF(OR($Q450=Parametres!$G$2,$Q450=Parametres!$G$3),K450,E450)</f>
        <v>159.96</v>
      </c>
      <c r="Q450" s="150" t="str">
        <f t="shared" ref="Q450:Q513" si="37">+F450</f>
        <v>7-Dépenses</v>
      </c>
      <c r="R450" s="149" t="str">
        <f t="shared" ref="R450:R513" si="38">+G450</f>
        <v>51</v>
      </c>
      <c r="S450" s="150" t="str">
        <f t="shared" ref="S450:S513" si="39">+H450</f>
        <v>_</v>
      </c>
      <c r="T450" s="152" t="str">
        <f>+VLOOKUP($L450,Data_Validation!$A:$D,1,0)</f>
        <v>51G</v>
      </c>
      <c r="U450" s="152" t="str">
        <f>+VLOOKUP($L450,Data_Validation!$A:$D,3,0)</f>
        <v>pièces</v>
      </c>
      <c r="V450" s="152" t="str">
        <f>+VLOOKUP($L450,Data_Validation!$A:$D,4,0)</f>
        <v>Uniformes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1163</v>
      </c>
      <c r="B451" s="718" t="s">
        <v>877</v>
      </c>
      <c r="C451" s="720">
        <v>20022.150000000001</v>
      </c>
      <c r="D451" s="720">
        <v>8268.19</v>
      </c>
      <c r="E451" s="720">
        <v>28290.34</v>
      </c>
      <c r="F451" s="718" t="s">
        <v>2229</v>
      </c>
      <c r="G451" s="718" t="s">
        <v>2296</v>
      </c>
      <c r="H451" s="673" t="s">
        <v>2971</v>
      </c>
      <c r="I451" s="672"/>
      <c r="J451" s="672"/>
      <c r="K451" s="672"/>
      <c r="L451" s="149" t="str">
        <f t="shared" si="35"/>
        <v>52E</v>
      </c>
      <c r="M451" s="150" t="str">
        <f t="shared" si="36"/>
        <v>DEP. VEHICULES PRETS - SERV. BMW</v>
      </c>
      <c r="N451" s="151">
        <f>+IF(OR($Q451=Parametres!$G$2,$Q451=Parametres!$G$3),I451,C451)</f>
        <v>20022.150000000001</v>
      </c>
      <c r="O451" s="151">
        <f>+IF(OR($Q451=Parametres!$G$2,$Q451=Parametres!$G$3),J451,D451)</f>
        <v>8268.19</v>
      </c>
      <c r="P451" s="151">
        <f>+IF(OR($Q451=Parametres!$G$2,$Q451=Parametres!$G$3),K451,E451)</f>
        <v>28290.34</v>
      </c>
      <c r="Q451" s="150" t="str">
        <f t="shared" si="37"/>
        <v>7-Dépenses</v>
      </c>
      <c r="R451" s="149" t="str">
        <f t="shared" si="38"/>
        <v>52</v>
      </c>
      <c r="S451" s="150" t="str">
        <f t="shared" si="39"/>
        <v>_</v>
      </c>
      <c r="T451" s="152" t="str">
        <f>+VLOOKUP($L451,Data_Validation!$A:$D,1,0)</f>
        <v>52E</v>
      </c>
      <c r="U451" s="152" t="str">
        <f>+VLOOKUP($L451,Data_Validation!$A:$D,3,0)</f>
        <v>Service</v>
      </c>
      <c r="V451" s="152" t="str">
        <f>+VLOOKUP($L451,Data_Validation!$A:$D,4,0)</f>
        <v>Frais véhicules de cie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1161</v>
      </c>
      <c r="B452" s="718" t="s">
        <v>1162</v>
      </c>
      <c r="C452" s="719">
        <v>20022.009999999998</v>
      </c>
      <c r="D452" s="719">
        <v>8268.14</v>
      </c>
      <c r="E452" s="719">
        <v>28290.15</v>
      </c>
      <c r="F452" s="718" t="s">
        <v>2229</v>
      </c>
      <c r="G452" s="718" t="s">
        <v>2296</v>
      </c>
      <c r="H452" s="719" t="s">
        <v>2971</v>
      </c>
      <c r="I452" s="720"/>
      <c r="J452" s="720"/>
      <c r="K452" s="720"/>
      <c r="L452" s="149" t="str">
        <f t="shared" si="35"/>
        <v>52G</v>
      </c>
      <c r="M452" s="150" t="str">
        <f t="shared" si="36"/>
        <v>DEP. VEHICULES PRETS - PIECE BMW</v>
      </c>
      <c r="N452" s="151">
        <f>+IF(OR($Q452=Parametres!$G$2,$Q452=Parametres!$G$3),I452,C452)</f>
        <v>20022.009999999998</v>
      </c>
      <c r="O452" s="151">
        <f>+IF(OR($Q452=Parametres!$G$2,$Q452=Parametres!$G$3),J452,D452)</f>
        <v>8268.14</v>
      </c>
      <c r="P452" s="151">
        <f>+IF(OR($Q452=Parametres!$G$2,$Q452=Parametres!$G$3),K452,E452)</f>
        <v>28290.15</v>
      </c>
      <c r="Q452" s="150" t="str">
        <f t="shared" si="37"/>
        <v>7-Dépenses</v>
      </c>
      <c r="R452" s="149" t="str">
        <f t="shared" si="38"/>
        <v>52</v>
      </c>
      <c r="S452" s="150" t="str">
        <f t="shared" si="39"/>
        <v>_</v>
      </c>
      <c r="T452" s="152" t="str">
        <f>+VLOOKUP($L452,Data_Validation!$A:$D,1,0)</f>
        <v>52G</v>
      </c>
      <c r="U452" s="152" t="str">
        <f>+VLOOKUP($L452,Data_Validation!$A:$D,3,0)</f>
        <v>pièces</v>
      </c>
      <c r="V452" s="152" t="str">
        <f>+VLOOKUP($L452,Data_Validation!$A:$D,4,0)</f>
        <v>Frais véhicules de cie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1762</v>
      </c>
      <c r="B453" s="718" t="s">
        <v>936</v>
      </c>
      <c r="C453" s="720">
        <v>20837.86</v>
      </c>
      <c r="D453" s="720">
        <v>8435.32</v>
      </c>
      <c r="E453" s="720">
        <v>29273.18</v>
      </c>
      <c r="F453" s="718" t="s">
        <v>2229</v>
      </c>
      <c r="G453" s="718" t="s">
        <v>2279</v>
      </c>
      <c r="H453" s="673" t="s">
        <v>2971</v>
      </c>
      <c r="I453" s="672"/>
      <c r="J453" s="672"/>
      <c r="K453" s="672"/>
      <c r="L453" s="149" t="str">
        <f t="shared" si="35"/>
        <v>53A</v>
      </c>
      <c r="M453" s="150" t="str">
        <f t="shared" si="36"/>
        <v>VEH. COMPAGNIE - NEUF BMW</v>
      </c>
      <c r="N453" s="151">
        <f>+IF(OR($Q453=Parametres!$G$2,$Q453=Parametres!$G$3),I453,C453)</f>
        <v>20837.86</v>
      </c>
      <c r="O453" s="151">
        <f>+IF(OR($Q453=Parametres!$G$2,$Q453=Parametres!$G$3),J453,D453)</f>
        <v>8435.32</v>
      </c>
      <c r="P453" s="151">
        <f>+IF(OR($Q453=Parametres!$G$2,$Q453=Parametres!$G$3),K453,E453)</f>
        <v>29273.18</v>
      </c>
      <c r="Q453" s="150" t="str">
        <f t="shared" si="37"/>
        <v>7-Dépenses</v>
      </c>
      <c r="R453" s="149" t="str">
        <f t="shared" si="38"/>
        <v>53</v>
      </c>
      <c r="S453" s="150" t="str">
        <f t="shared" si="39"/>
        <v>_</v>
      </c>
      <c r="T453" s="152" t="str">
        <f>+VLOOKUP($L453,Data_Validation!$A:$D,1,0)</f>
        <v>53A</v>
      </c>
      <c r="U453" s="152" t="str">
        <f>+VLOOKUP($L453,Data_Validation!$A:$D,3,0)</f>
        <v>Véhicules neufs</v>
      </c>
      <c r="V453" s="152" t="str">
        <f>+VLOOKUP($L453,Data_Validation!$A:$D,4,0)</f>
        <v>Frais véhicules de cie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1705</v>
      </c>
      <c r="B454" s="718" t="s">
        <v>864</v>
      </c>
      <c r="C454" s="720">
        <v>3244.7</v>
      </c>
      <c r="D454" s="720">
        <v>667.7</v>
      </c>
      <c r="E454" s="720">
        <v>3912.4</v>
      </c>
      <c r="F454" s="718" t="s">
        <v>2229</v>
      </c>
      <c r="G454" s="718" t="s">
        <v>2279</v>
      </c>
      <c r="H454" s="673" t="s">
        <v>2971</v>
      </c>
      <c r="I454" s="672"/>
      <c r="J454" s="672"/>
      <c r="K454" s="672"/>
      <c r="L454" s="149" t="str">
        <f t="shared" si="35"/>
        <v>53C</v>
      </c>
      <c r="M454" s="150" t="str">
        <f t="shared" si="36"/>
        <v>VEH. COMPAGNIE - USAGE BMW</v>
      </c>
      <c r="N454" s="151">
        <f>+IF(OR($Q454=Parametres!$G$2,$Q454=Parametres!$G$3),I454,C454)</f>
        <v>3244.7</v>
      </c>
      <c r="O454" s="151">
        <f>+IF(OR($Q454=Parametres!$G$2,$Q454=Parametres!$G$3),J454,D454)</f>
        <v>667.7</v>
      </c>
      <c r="P454" s="151">
        <f>+IF(OR($Q454=Parametres!$G$2,$Q454=Parametres!$G$3),K454,E454)</f>
        <v>3912.4</v>
      </c>
      <c r="Q454" s="150" t="str">
        <f t="shared" si="37"/>
        <v>7-Dépenses</v>
      </c>
      <c r="R454" s="149" t="str">
        <f t="shared" si="38"/>
        <v>53</v>
      </c>
      <c r="S454" s="150" t="str">
        <f t="shared" si="39"/>
        <v>_</v>
      </c>
      <c r="T454" s="152" t="str">
        <f>+VLOOKUP($L454,Data_Validation!$A:$D,1,0)</f>
        <v>53C</v>
      </c>
      <c r="U454" s="152" t="str">
        <f>+VLOOKUP($L454,Data_Validation!$A:$D,3,0)</f>
        <v>Véhicules usagés</v>
      </c>
      <c r="V454" s="152" t="str">
        <f>+VLOOKUP($L454,Data_Validation!$A:$D,4,0)</f>
        <v>Frais véhicules de cie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1693</v>
      </c>
      <c r="B455" s="671" t="s">
        <v>895</v>
      </c>
      <c r="C455" s="672">
        <v>6109.99</v>
      </c>
      <c r="D455" s="672">
        <v>1313.96</v>
      </c>
      <c r="E455" s="672">
        <v>7423.95</v>
      </c>
      <c r="F455" s="671" t="s">
        <v>2229</v>
      </c>
      <c r="G455" s="671" t="s">
        <v>2279</v>
      </c>
      <c r="H455" s="666" t="s">
        <v>2971</v>
      </c>
      <c r="I455" s="665"/>
      <c r="J455" s="665"/>
      <c r="K455" s="665"/>
      <c r="L455" s="149" t="str">
        <f t="shared" si="35"/>
        <v>53E</v>
      </c>
      <c r="M455" s="150" t="str">
        <f t="shared" si="36"/>
        <v>VEH. COMPAGNIE - SERV. BMW</v>
      </c>
      <c r="N455" s="151">
        <f>+IF(OR($Q455=Parametres!$G$2,$Q455=Parametres!$G$3),I455,C455)</f>
        <v>6109.99</v>
      </c>
      <c r="O455" s="151">
        <f>+IF(OR($Q455=Parametres!$G$2,$Q455=Parametres!$G$3),J455,D455)</f>
        <v>1313.96</v>
      </c>
      <c r="P455" s="151">
        <f>+IF(OR($Q455=Parametres!$G$2,$Q455=Parametres!$G$3),K455,E455)</f>
        <v>7423.95</v>
      </c>
      <c r="Q455" s="150" t="str">
        <f t="shared" si="37"/>
        <v>7-Dépenses</v>
      </c>
      <c r="R455" s="149" t="str">
        <f t="shared" si="38"/>
        <v>53</v>
      </c>
      <c r="S455" s="150" t="str">
        <f t="shared" si="39"/>
        <v>_</v>
      </c>
      <c r="T455" s="152" t="str">
        <f>+VLOOKUP($L455,Data_Validation!$A:$D,1,0)</f>
        <v>53E</v>
      </c>
      <c r="U455" s="152" t="str">
        <f>+VLOOKUP($L455,Data_Validation!$A:$D,3,0)</f>
        <v>Service</v>
      </c>
      <c r="V455" s="152" t="str">
        <f>+VLOOKUP($L455,Data_Validation!$A:$D,4,0)</f>
        <v>Frais véhicules de cie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1666</v>
      </c>
      <c r="B456" s="718" t="s">
        <v>870</v>
      </c>
      <c r="C456" s="720">
        <v>3767.95</v>
      </c>
      <c r="D456" s="720">
        <v>672.04</v>
      </c>
      <c r="E456" s="720">
        <v>4439.99</v>
      </c>
      <c r="F456" s="718" t="s">
        <v>2229</v>
      </c>
      <c r="G456" s="718" t="s">
        <v>2279</v>
      </c>
      <c r="H456" s="673" t="s">
        <v>2971</v>
      </c>
      <c r="I456" s="672"/>
      <c r="J456" s="672"/>
      <c r="K456" s="672"/>
      <c r="L456" s="149" t="str">
        <f t="shared" si="35"/>
        <v>53G</v>
      </c>
      <c r="M456" s="150" t="str">
        <f t="shared" si="36"/>
        <v>VEH. COMPAGNIE - PIECE BMW</v>
      </c>
      <c r="N456" s="151">
        <f>+IF(OR($Q456=Parametres!$G$2,$Q456=Parametres!$G$3),I456,C456)</f>
        <v>3767.95</v>
      </c>
      <c r="O456" s="504">
        <f>+IF(OR($Q456=Parametres!$G$2,$Q456=Parametres!$G$3),J456,D456)</f>
        <v>672.04</v>
      </c>
      <c r="P456" s="151">
        <f>+IF(OR($Q456=Parametres!$G$2,$Q456=Parametres!$G$3),K456,E456)</f>
        <v>4439.99</v>
      </c>
      <c r="Q456" s="150" t="str">
        <f t="shared" si="37"/>
        <v>7-Dépenses</v>
      </c>
      <c r="R456" s="149" t="str">
        <f t="shared" si="38"/>
        <v>53</v>
      </c>
      <c r="S456" s="150" t="str">
        <f t="shared" si="39"/>
        <v>_</v>
      </c>
      <c r="T456" s="152" t="str">
        <f>+VLOOKUP($L456,Data_Validation!$A:$D,1,0)</f>
        <v>53G</v>
      </c>
      <c r="U456" s="152" t="str">
        <f>+VLOOKUP($L456,Data_Validation!$A:$D,3,0)</f>
        <v>pièces</v>
      </c>
      <c r="V456" s="152" t="str">
        <f>+VLOOKUP($L456,Data_Validation!$A:$D,4,0)</f>
        <v>Frais véhicules de cie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1168</v>
      </c>
      <c r="B457" s="718" t="s">
        <v>1169</v>
      </c>
      <c r="C457" s="720">
        <v>-10027.5</v>
      </c>
      <c r="D457" s="720">
        <v>-3450</v>
      </c>
      <c r="E457" s="720">
        <v>-13477.5</v>
      </c>
      <c r="F457" s="718" t="s">
        <v>2229</v>
      </c>
      <c r="G457" s="718" t="s">
        <v>2255</v>
      </c>
      <c r="H457" s="673" t="s">
        <v>2971</v>
      </c>
      <c r="I457" s="672"/>
      <c r="J457" s="672"/>
      <c r="K457" s="672"/>
      <c r="L457" s="149" t="str">
        <f t="shared" si="35"/>
        <v>54E</v>
      </c>
      <c r="M457" s="150" t="str">
        <f t="shared" si="36"/>
        <v>REV BMW CANADA MOBILITY - SERV BMW</v>
      </c>
      <c r="N457" s="151">
        <f>+IF(OR($Q457=Parametres!$G$2,$Q457=Parametres!$G$3),I457,C457)</f>
        <v>-10027.5</v>
      </c>
      <c r="O457" s="151">
        <f>+IF(OR($Q457=Parametres!$G$2,$Q457=Parametres!$G$3),J457,D457)</f>
        <v>-3450</v>
      </c>
      <c r="P457" s="151">
        <f>+IF(OR($Q457=Parametres!$G$2,$Q457=Parametres!$G$3),K457,E457)</f>
        <v>-13477.5</v>
      </c>
      <c r="Q457" s="150" t="str">
        <f t="shared" si="37"/>
        <v>7-Dépenses</v>
      </c>
      <c r="R457" s="149" t="str">
        <f t="shared" si="38"/>
        <v>54</v>
      </c>
      <c r="S457" s="150" t="str">
        <f t="shared" si="39"/>
        <v>_</v>
      </c>
      <c r="T457" s="152" t="str">
        <f>+VLOOKUP($L457,Data_Validation!$A:$D,1,0)</f>
        <v>54E</v>
      </c>
      <c r="U457" s="152" t="str">
        <f>+VLOOKUP($L457,Data_Validation!$A:$D,3,0)</f>
        <v>Service</v>
      </c>
      <c r="V457" s="152" t="str">
        <f>+VLOOKUP($L457,Data_Validation!$A:$D,4,0)</f>
        <v>Frais véhicules de cie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1170</v>
      </c>
      <c r="B458" s="718" t="s">
        <v>1171</v>
      </c>
      <c r="C458" s="720">
        <v>-10027.5</v>
      </c>
      <c r="D458" s="720">
        <v>-3450</v>
      </c>
      <c r="E458" s="720">
        <v>-13477.5</v>
      </c>
      <c r="F458" s="718" t="s">
        <v>2229</v>
      </c>
      <c r="G458" s="718" t="s">
        <v>2255</v>
      </c>
      <c r="H458" s="673" t="s">
        <v>2971</v>
      </c>
      <c r="I458" s="672"/>
      <c r="J458" s="672"/>
      <c r="K458" s="672"/>
      <c r="L458" s="149" t="str">
        <f t="shared" si="35"/>
        <v>54G</v>
      </c>
      <c r="M458" s="150" t="str">
        <f t="shared" si="36"/>
        <v>REV BMW CANADA MOBILITY - PIECES BMW</v>
      </c>
      <c r="N458" s="151">
        <f>+IF(OR($Q458=Parametres!$G$2,$Q458=Parametres!$G$3),I458,C458)</f>
        <v>-10027.5</v>
      </c>
      <c r="O458" s="151">
        <f>+IF(OR($Q458=Parametres!$G$2,$Q458=Parametres!$G$3),J458,D458)</f>
        <v>-3450</v>
      </c>
      <c r="P458" s="151">
        <f>+IF(OR($Q458=Parametres!$G$2,$Q458=Parametres!$G$3),K458,E458)</f>
        <v>-13477.5</v>
      </c>
      <c r="Q458" s="150" t="str">
        <f t="shared" si="37"/>
        <v>7-Dépenses</v>
      </c>
      <c r="R458" s="149" t="str">
        <f t="shared" si="38"/>
        <v>54</v>
      </c>
      <c r="S458" s="150" t="str">
        <f t="shared" si="39"/>
        <v>_</v>
      </c>
      <c r="T458" s="152" t="str">
        <f>+VLOOKUP($L458,Data_Validation!$A:$D,1,0)</f>
        <v>54G</v>
      </c>
      <c r="U458" s="152" t="str">
        <f>+VLOOKUP($L458,Data_Validation!$A:$D,3,0)</f>
        <v>pièces</v>
      </c>
      <c r="V458" s="152" t="str">
        <f>+VLOOKUP($L458,Data_Validation!$A:$D,4,0)</f>
        <v>Frais véhicules de cie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1691</v>
      </c>
      <c r="B459" s="718" t="s">
        <v>855</v>
      </c>
      <c r="C459" s="719">
        <v>1660.14</v>
      </c>
      <c r="D459" s="719">
        <v>527.44000000000005</v>
      </c>
      <c r="E459" s="719">
        <v>2187.58</v>
      </c>
      <c r="F459" s="718" t="s">
        <v>2229</v>
      </c>
      <c r="G459" s="718" t="s">
        <v>2270</v>
      </c>
      <c r="H459" s="719" t="s">
        <v>2971</v>
      </c>
      <c r="I459" s="720"/>
      <c r="J459" s="720"/>
      <c r="K459" s="720"/>
      <c r="L459" s="149" t="str">
        <f t="shared" si="35"/>
        <v>60A</v>
      </c>
      <c r="M459" s="150" t="str">
        <f t="shared" si="36"/>
        <v>FOURNITURES BUREAU - NEUF BMW</v>
      </c>
      <c r="N459" s="151">
        <f>+IF(OR($Q459=Parametres!$G$2,$Q459=Parametres!$G$3),I459,C459)</f>
        <v>1660.14</v>
      </c>
      <c r="O459" s="151">
        <f>+IF(OR($Q459=Parametres!$G$2,$Q459=Parametres!$G$3),J459,D459)</f>
        <v>527.44000000000005</v>
      </c>
      <c r="P459" s="151">
        <f>+IF(OR($Q459=Parametres!$G$2,$Q459=Parametres!$G$3),K459,E459)</f>
        <v>2187.58</v>
      </c>
      <c r="Q459" s="150" t="str">
        <f t="shared" si="37"/>
        <v>7-Dépenses</v>
      </c>
      <c r="R459" s="149" t="str">
        <f t="shared" si="38"/>
        <v>60</v>
      </c>
      <c r="S459" s="150" t="str">
        <f t="shared" si="39"/>
        <v>_</v>
      </c>
      <c r="T459" s="152" t="str">
        <f>+VLOOKUP($L459,Data_Validation!$A:$D,1,0)</f>
        <v>60A</v>
      </c>
      <c r="U459" s="152" t="str">
        <f>+VLOOKUP($L459,Data_Validation!$A:$D,3,0)</f>
        <v>Véhicules neufs</v>
      </c>
      <c r="V459" s="152" t="str">
        <f>+VLOOKUP($L459,Data_Validation!$A:$D,4,0)</f>
        <v>papeterie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1632</v>
      </c>
      <c r="B460" s="718" t="s">
        <v>812</v>
      </c>
      <c r="C460" s="719">
        <v>520.49</v>
      </c>
      <c r="D460" s="719">
        <v>159.87</v>
      </c>
      <c r="E460" s="719">
        <v>680.36</v>
      </c>
      <c r="F460" s="718" t="s">
        <v>2229</v>
      </c>
      <c r="G460" s="718" t="s">
        <v>2270</v>
      </c>
      <c r="H460" s="719" t="s">
        <v>2971</v>
      </c>
      <c r="I460" s="720"/>
      <c r="J460" s="720"/>
      <c r="K460" s="720"/>
      <c r="L460" s="149" t="str">
        <f t="shared" si="35"/>
        <v>60C</v>
      </c>
      <c r="M460" s="150" t="str">
        <f t="shared" si="36"/>
        <v>FOURNITURES BUREAU - USAGE BMW</v>
      </c>
      <c r="N460" s="151">
        <f>+IF(OR($Q460=Parametres!$G$2,$Q460=Parametres!$G$3),I460,C460)</f>
        <v>520.49</v>
      </c>
      <c r="O460" s="151">
        <f>+IF(OR($Q460=Parametres!$G$2,$Q460=Parametres!$G$3),J460,D460)</f>
        <v>159.87</v>
      </c>
      <c r="P460" s="151">
        <f>+IF(OR($Q460=Parametres!$G$2,$Q460=Parametres!$G$3),K460,E460)</f>
        <v>680.36</v>
      </c>
      <c r="Q460" s="150" t="str">
        <f t="shared" si="37"/>
        <v>7-Dépenses</v>
      </c>
      <c r="R460" s="149" t="str">
        <f t="shared" si="38"/>
        <v>60</v>
      </c>
      <c r="S460" s="150" t="str">
        <f t="shared" si="39"/>
        <v>_</v>
      </c>
      <c r="T460" s="152" t="str">
        <f>+VLOOKUP($L460,Data_Validation!$A:$D,1,0)</f>
        <v>60C</v>
      </c>
      <c r="U460" s="152" t="str">
        <f>+VLOOKUP($L460,Data_Validation!$A:$D,3,0)</f>
        <v>Véhicules usagés</v>
      </c>
      <c r="V460" s="152" t="str">
        <f>+VLOOKUP($L460,Data_Validation!$A:$D,4,0)</f>
        <v>papeterie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1668</v>
      </c>
      <c r="B461" s="718" t="s">
        <v>826</v>
      </c>
      <c r="C461" s="719">
        <v>1078.17</v>
      </c>
      <c r="D461" s="719">
        <v>548.49</v>
      </c>
      <c r="E461" s="719">
        <v>1626.66</v>
      </c>
      <c r="F461" s="718" t="s">
        <v>2229</v>
      </c>
      <c r="G461" s="718" t="s">
        <v>2270</v>
      </c>
      <c r="H461" s="719" t="s">
        <v>2971</v>
      </c>
      <c r="I461" s="720"/>
      <c r="J461" s="720"/>
      <c r="K461" s="720"/>
      <c r="L461" s="149" t="str">
        <f t="shared" si="35"/>
        <v>60E</v>
      </c>
      <c r="M461" s="150" t="str">
        <f t="shared" si="36"/>
        <v>FOURNITURES BUREAU - SERV. BMW</v>
      </c>
      <c r="N461" s="151">
        <f>+IF(OR($Q461=Parametres!$G$2,$Q461=Parametres!$G$3),I461,C461)</f>
        <v>1078.17</v>
      </c>
      <c r="O461" s="151">
        <f>+IF(OR($Q461=Parametres!$G$2,$Q461=Parametres!$G$3),J461,D461)</f>
        <v>548.49</v>
      </c>
      <c r="P461" s="151">
        <f>+IF(OR($Q461=Parametres!$G$2,$Q461=Parametres!$G$3),K461,E461)</f>
        <v>1626.66</v>
      </c>
      <c r="Q461" s="150" t="str">
        <f t="shared" si="37"/>
        <v>7-Dépenses</v>
      </c>
      <c r="R461" s="149" t="str">
        <f t="shared" si="38"/>
        <v>60</v>
      </c>
      <c r="S461" s="150" t="str">
        <f t="shared" si="39"/>
        <v>_</v>
      </c>
      <c r="T461" s="152" t="str">
        <f>+VLOOKUP($L461,Data_Validation!$A:$D,1,0)</f>
        <v>60E</v>
      </c>
      <c r="U461" s="152" t="str">
        <f>+VLOOKUP($L461,Data_Validation!$A:$D,3,0)</f>
        <v>Service</v>
      </c>
      <c r="V461" s="152" t="str">
        <f>+VLOOKUP($L461,Data_Validation!$A:$D,4,0)</f>
        <v>papeterie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1662</v>
      </c>
      <c r="B462" s="718" t="s">
        <v>829</v>
      </c>
      <c r="C462" s="720">
        <v>560.9</v>
      </c>
      <c r="D462" s="720">
        <v>191.75</v>
      </c>
      <c r="E462" s="720">
        <v>752.65</v>
      </c>
      <c r="F462" s="718" t="s">
        <v>2229</v>
      </c>
      <c r="G462" s="718" t="s">
        <v>2270</v>
      </c>
      <c r="H462" s="673" t="s">
        <v>2971</v>
      </c>
      <c r="I462" s="672"/>
      <c r="J462" s="672"/>
      <c r="K462" s="672"/>
      <c r="L462" s="149" t="str">
        <f t="shared" si="35"/>
        <v>60G</v>
      </c>
      <c r="M462" s="150" t="str">
        <f t="shared" si="36"/>
        <v>FOURNITURES BUREAU - PIECE BMW</v>
      </c>
      <c r="N462" s="151">
        <f>+IF(OR($Q462=Parametres!$G$2,$Q462=Parametres!$G$3),I462,C462)</f>
        <v>560.9</v>
      </c>
      <c r="O462" s="151">
        <f>+IF(OR($Q462=Parametres!$G$2,$Q462=Parametres!$G$3),J462,D462)</f>
        <v>191.75</v>
      </c>
      <c r="P462" s="151">
        <f>+IF(OR($Q462=Parametres!$G$2,$Q462=Parametres!$G$3),K462,E462)</f>
        <v>752.65</v>
      </c>
      <c r="Q462" s="150" t="str">
        <f t="shared" si="37"/>
        <v>7-Dépenses</v>
      </c>
      <c r="R462" s="149" t="str">
        <f t="shared" si="38"/>
        <v>60</v>
      </c>
      <c r="S462" s="150" t="str">
        <f t="shared" si="39"/>
        <v>_</v>
      </c>
      <c r="T462" s="152" t="str">
        <f>+VLOOKUP($L462,Data_Validation!$A:$D,1,0)</f>
        <v>60G</v>
      </c>
      <c r="U462" s="152" t="str">
        <f>+VLOOKUP($L462,Data_Validation!$A:$D,3,0)</f>
        <v>pièces</v>
      </c>
      <c r="V462" s="152" t="str">
        <f>+VLOOKUP($L462,Data_Validation!$A:$D,4,0)</f>
        <v>papeterie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1454</v>
      </c>
      <c r="B463" s="718" t="s">
        <v>682</v>
      </c>
      <c r="C463" s="720">
        <v>127.27</v>
      </c>
      <c r="D463" s="720">
        <v>0</v>
      </c>
      <c r="E463" s="720">
        <v>127.27</v>
      </c>
      <c r="F463" s="718" t="s">
        <v>2229</v>
      </c>
      <c r="G463" s="718" t="s">
        <v>2259</v>
      </c>
      <c r="H463" s="673" t="s">
        <v>2971</v>
      </c>
      <c r="I463" s="672"/>
      <c r="J463" s="672"/>
      <c r="K463" s="672"/>
      <c r="L463" s="149" t="str">
        <f t="shared" si="35"/>
        <v>61A</v>
      </c>
      <c r="M463" s="150" t="str">
        <f t="shared" si="36"/>
        <v>AUTRES FOURNITURES - NEUF BMW</v>
      </c>
      <c r="N463" s="151">
        <f>+IF(OR($Q463=Parametres!$G$2,$Q463=Parametres!$G$3),I463,C463)</f>
        <v>127.27</v>
      </c>
      <c r="O463" s="151">
        <f>+IF(OR($Q463=Parametres!$G$2,$Q463=Parametres!$G$3),J463,D463)</f>
        <v>0</v>
      </c>
      <c r="P463" s="151">
        <f>+IF(OR($Q463=Parametres!$G$2,$Q463=Parametres!$G$3),K463,E463)</f>
        <v>127.27</v>
      </c>
      <c r="Q463" s="150" t="str">
        <f t="shared" si="37"/>
        <v>7-Dépenses</v>
      </c>
      <c r="R463" s="149" t="str">
        <f t="shared" si="38"/>
        <v>61</v>
      </c>
      <c r="S463" s="150" t="str">
        <f t="shared" si="39"/>
        <v>_</v>
      </c>
      <c r="T463" s="152" t="str">
        <f>+VLOOKUP($L463,Data_Validation!$A:$D,1,0)</f>
        <v>61A</v>
      </c>
      <c r="U463" s="152" t="str">
        <f>+VLOOKUP($L463,Data_Validation!$A:$D,3,0)</f>
        <v>Véhicules neufs</v>
      </c>
      <c r="V463" s="152" t="str">
        <f>+VLOOKUP($L463,Data_Validation!$A:$D,4,0)</f>
        <v>fournitures autres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1455</v>
      </c>
      <c r="B464" s="718" t="s">
        <v>683</v>
      </c>
      <c r="C464" s="720">
        <v>81.61</v>
      </c>
      <c r="D464" s="720">
        <v>0</v>
      </c>
      <c r="E464" s="720">
        <v>81.61</v>
      </c>
      <c r="F464" s="718" t="s">
        <v>2229</v>
      </c>
      <c r="G464" s="718" t="s">
        <v>2259</v>
      </c>
      <c r="H464" s="673" t="s">
        <v>2971</v>
      </c>
      <c r="I464" s="672"/>
      <c r="J464" s="672"/>
      <c r="K464" s="672"/>
      <c r="L464" s="149" t="str">
        <f t="shared" si="35"/>
        <v>61C</v>
      </c>
      <c r="M464" s="150" t="str">
        <f t="shared" si="36"/>
        <v>AUTRES FOURNITURES - USAGE BMW</v>
      </c>
      <c r="N464" s="151">
        <f>+IF(OR($Q464=Parametres!$G$2,$Q464=Parametres!$G$3),I464,C464)</f>
        <v>81.61</v>
      </c>
      <c r="O464" s="151">
        <f>+IF(OR($Q464=Parametres!$G$2,$Q464=Parametres!$G$3),J464,D464)</f>
        <v>0</v>
      </c>
      <c r="P464" s="151">
        <f>+IF(OR($Q464=Parametres!$G$2,$Q464=Parametres!$G$3),K464,E464)</f>
        <v>81.61</v>
      </c>
      <c r="Q464" s="150" t="str">
        <f t="shared" si="37"/>
        <v>7-Dépenses</v>
      </c>
      <c r="R464" s="149" t="str">
        <f t="shared" si="38"/>
        <v>61</v>
      </c>
      <c r="S464" s="150" t="str">
        <f t="shared" si="39"/>
        <v>_</v>
      </c>
      <c r="T464" s="152" t="str">
        <f>+VLOOKUP($L464,Data_Validation!$A:$D,1,0)</f>
        <v>61C</v>
      </c>
      <c r="U464" s="152" t="str">
        <f>+VLOOKUP($L464,Data_Validation!$A:$D,3,0)</f>
        <v>Véhicules usagés</v>
      </c>
      <c r="V464" s="152" t="str">
        <f>+VLOOKUP($L464,Data_Validation!$A:$D,4,0)</f>
        <v>fournitures autres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1724</v>
      </c>
      <c r="B465" s="718" t="s">
        <v>791</v>
      </c>
      <c r="C465" s="719">
        <v>9045.51</v>
      </c>
      <c r="D465" s="719">
        <v>2310.04</v>
      </c>
      <c r="E465" s="719">
        <v>11355.55</v>
      </c>
      <c r="F465" s="718" t="s">
        <v>2229</v>
      </c>
      <c r="G465" s="718" t="s">
        <v>2259</v>
      </c>
      <c r="H465" s="719" t="s">
        <v>2971</v>
      </c>
      <c r="I465" s="720"/>
      <c r="J465" s="720"/>
      <c r="K465" s="720"/>
      <c r="L465" s="149" t="str">
        <f t="shared" si="35"/>
        <v>61E</v>
      </c>
      <c r="M465" s="150" t="str">
        <f t="shared" si="36"/>
        <v>AUTRES FOURNITURES - SERV. BMW</v>
      </c>
      <c r="N465" s="151">
        <f>+IF(OR($Q465=Parametres!$G$2,$Q465=Parametres!$G$3),I465,C465)</f>
        <v>9045.51</v>
      </c>
      <c r="O465" s="151">
        <f>+IF(OR($Q465=Parametres!$G$2,$Q465=Parametres!$G$3),J465,D465)</f>
        <v>2310.04</v>
      </c>
      <c r="P465" s="151">
        <f>+IF(OR($Q465=Parametres!$G$2,$Q465=Parametres!$G$3),K465,E465)</f>
        <v>11355.55</v>
      </c>
      <c r="Q465" s="150" t="str">
        <f t="shared" si="37"/>
        <v>7-Dépenses</v>
      </c>
      <c r="R465" s="149" t="str">
        <f t="shared" si="38"/>
        <v>61</v>
      </c>
      <c r="S465" s="150" t="str">
        <f t="shared" si="39"/>
        <v>_</v>
      </c>
      <c r="T465" s="152" t="str">
        <f>+VLOOKUP($L465,Data_Validation!$A:$D,1,0)</f>
        <v>61E</v>
      </c>
      <c r="U465" s="152" t="str">
        <f>+VLOOKUP($L465,Data_Validation!$A:$D,3,0)</f>
        <v>Service</v>
      </c>
      <c r="V465" s="152" t="str">
        <f>+VLOOKUP($L465,Data_Validation!$A:$D,4,0)</f>
        <v>fournitures autres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1456</v>
      </c>
      <c r="B466" s="718" t="s">
        <v>684</v>
      </c>
      <c r="C466" s="719">
        <v>3.24</v>
      </c>
      <c r="D466" s="719">
        <v>0</v>
      </c>
      <c r="E466" s="719">
        <v>3.24</v>
      </c>
      <c r="F466" s="718" t="s">
        <v>2229</v>
      </c>
      <c r="G466" s="718" t="s">
        <v>2259</v>
      </c>
      <c r="H466" s="719" t="s">
        <v>2971</v>
      </c>
      <c r="I466" s="720"/>
      <c r="J466" s="720"/>
      <c r="K466" s="720"/>
      <c r="L466" s="149" t="str">
        <f t="shared" si="35"/>
        <v>61G</v>
      </c>
      <c r="M466" s="150" t="str">
        <f t="shared" si="36"/>
        <v>AUTRES FOURNITURES - PIECE BMW</v>
      </c>
      <c r="N466" s="151">
        <f>+IF(OR($Q466=Parametres!$G$2,$Q466=Parametres!$G$3),I466,C466)</f>
        <v>3.24</v>
      </c>
      <c r="O466" s="151">
        <f>+IF(OR($Q466=Parametres!$G$2,$Q466=Parametres!$G$3),J466,D466)</f>
        <v>0</v>
      </c>
      <c r="P466" s="151">
        <f>+IF(OR($Q466=Parametres!$G$2,$Q466=Parametres!$G$3),K466,E466)</f>
        <v>3.24</v>
      </c>
      <c r="Q466" s="150" t="str">
        <f t="shared" si="37"/>
        <v>7-Dépenses</v>
      </c>
      <c r="R466" s="149" t="str">
        <f t="shared" si="38"/>
        <v>61</v>
      </c>
      <c r="S466" s="150" t="str">
        <f t="shared" si="39"/>
        <v>_</v>
      </c>
      <c r="T466" s="152" t="str">
        <f>+VLOOKUP($L466,Data_Validation!$A:$D,1,0)</f>
        <v>61G</v>
      </c>
      <c r="U466" s="152" t="str">
        <f>+VLOOKUP($L466,Data_Validation!$A:$D,3,0)</f>
        <v>pièces</v>
      </c>
      <c r="V466" s="152" t="str">
        <f>+VLOOKUP($L466,Data_Validation!$A:$D,4,0)</f>
        <v>fournitures autres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1197</v>
      </c>
      <c r="B467" s="718" t="s">
        <v>842</v>
      </c>
      <c r="C467" s="720">
        <v>2865.27</v>
      </c>
      <c r="D467" s="720">
        <v>691.79</v>
      </c>
      <c r="E467" s="720">
        <v>3557.06</v>
      </c>
      <c r="F467" s="718" t="s">
        <v>2229</v>
      </c>
      <c r="G467" s="718" t="s">
        <v>2266</v>
      </c>
      <c r="H467" s="673" t="s">
        <v>2971</v>
      </c>
      <c r="I467" s="672"/>
      <c r="J467" s="672"/>
      <c r="K467" s="672"/>
      <c r="L467" s="149" t="str">
        <f t="shared" si="35"/>
        <v>63E</v>
      </c>
      <c r="M467" s="150" t="str">
        <f t="shared" si="36"/>
        <v>AJUST. GARANTIE - SERV. BMW</v>
      </c>
      <c r="N467" s="151">
        <f>+IF(OR($Q467=Parametres!$G$2,$Q467=Parametres!$G$3),I467,C467)</f>
        <v>2865.27</v>
      </c>
      <c r="O467" s="151">
        <f>+IF(OR($Q467=Parametres!$G$2,$Q467=Parametres!$G$3),J467,D467)</f>
        <v>691.79</v>
      </c>
      <c r="P467" s="151">
        <f>+IF(OR($Q467=Parametres!$G$2,$Q467=Parametres!$G$3),K467,E467)</f>
        <v>3557.06</v>
      </c>
      <c r="Q467" s="150" t="str">
        <f t="shared" si="37"/>
        <v>7-Dépenses</v>
      </c>
      <c r="R467" s="149" t="str">
        <f t="shared" si="38"/>
        <v>63</v>
      </c>
      <c r="S467" s="150" t="str">
        <f t="shared" si="39"/>
        <v>_</v>
      </c>
      <c r="T467" s="152" t="str">
        <f>+VLOOKUP($L467,Data_Validation!$A:$D,1,0)</f>
        <v>63E</v>
      </c>
      <c r="U467" s="152" t="str">
        <f>+VLOOKUP($L467,Data_Validation!$A:$D,3,0)</f>
        <v>Service</v>
      </c>
      <c r="V467" s="152" t="str">
        <f>+VLOOKUP($L467,Data_Validation!$A:$D,4,0)</f>
        <v>service gratuit 2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1460</v>
      </c>
      <c r="B468" s="718" t="s">
        <v>797</v>
      </c>
      <c r="C468" s="720">
        <v>515.66999999999996</v>
      </c>
      <c r="D468" s="720">
        <v>38.200000000000003</v>
      </c>
      <c r="E468" s="720">
        <v>553.87</v>
      </c>
      <c r="F468" s="718" t="s">
        <v>2229</v>
      </c>
      <c r="G468" s="718" t="s">
        <v>2266</v>
      </c>
      <c r="H468" s="673" t="s">
        <v>2971</v>
      </c>
      <c r="I468" s="672"/>
      <c r="J468" s="672"/>
      <c r="K468" s="672"/>
      <c r="L468" s="149" t="str">
        <f t="shared" si="35"/>
        <v>63G</v>
      </c>
      <c r="M468" s="150" t="str">
        <f t="shared" si="36"/>
        <v>AJUST. GARANTIE - PIECE BMW</v>
      </c>
      <c r="N468" s="151">
        <f>+IF(OR($Q468=Parametres!$G$2,$Q468=Parametres!$G$3),I468,C468)</f>
        <v>515.66999999999996</v>
      </c>
      <c r="O468" s="151">
        <f>+IF(OR($Q468=Parametres!$G$2,$Q468=Parametres!$G$3),J468,D468)</f>
        <v>38.200000000000003</v>
      </c>
      <c r="P468" s="151">
        <f>+IF(OR($Q468=Parametres!$G$2,$Q468=Parametres!$G$3),K468,E468)</f>
        <v>553.87</v>
      </c>
      <c r="Q468" s="150" t="str">
        <f t="shared" si="37"/>
        <v>7-Dépenses</v>
      </c>
      <c r="R468" s="149" t="str">
        <f t="shared" si="38"/>
        <v>63</v>
      </c>
      <c r="S468" s="150" t="str">
        <f t="shared" si="39"/>
        <v>_</v>
      </c>
      <c r="T468" s="152" t="str">
        <f>+VLOOKUP($L468,Data_Validation!$A:$D,1,0)</f>
        <v>63G</v>
      </c>
      <c r="U468" s="152" t="str">
        <f>+VLOOKUP($L468,Data_Validation!$A:$D,3,0)</f>
        <v>pièces</v>
      </c>
      <c r="V468" s="152" t="str">
        <f>+VLOOKUP($L468,Data_Validation!$A:$D,4,0)</f>
        <v>service gratuit 2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1639</v>
      </c>
      <c r="B469" s="718" t="s">
        <v>896</v>
      </c>
      <c r="C469" s="720">
        <v>983.92</v>
      </c>
      <c r="D469" s="720">
        <v>1818.89</v>
      </c>
      <c r="E469" s="720">
        <v>2802.81</v>
      </c>
      <c r="F469" s="718" t="s">
        <v>2229</v>
      </c>
      <c r="G469" s="718" t="s">
        <v>2258</v>
      </c>
      <c r="H469" s="673" t="s">
        <v>2971</v>
      </c>
      <c r="I469" s="672"/>
      <c r="J469" s="672"/>
      <c r="K469" s="672"/>
      <c r="L469" s="149" t="str">
        <f t="shared" si="35"/>
        <v>68A</v>
      </c>
      <c r="M469" s="150" t="str">
        <f t="shared" si="36"/>
        <v>TRAV. GRACIEUX - NEUF BMW</v>
      </c>
      <c r="N469" s="151">
        <f>+IF(OR($Q469=Parametres!$G$2,$Q469=Parametres!$G$3),I469,C469)</f>
        <v>983.92</v>
      </c>
      <c r="O469" s="151">
        <f>+IF(OR($Q469=Parametres!$G$2,$Q469=Parametres!$G$3),J469,D469)</f>
        <v>1818.89</v>
      </c>
      <c r="P469" s="151">
        <f>+IF(OR($Q469=Parametres!$G$2,$Q469=Parametres!$G$3),K469,E469)</f>
        <v>2802.81</v>
      </c>
      <c r="Q469" s="150" t="str">
        <f t="shared" si="37"/>
        <v>7-Dépenses</v>
      </c>
      <c r="R469" s="149" t="str">
        <f t="shared" si="38"/>
        <v>68</v>
      </c>
      <c r="S469" s="150" t="str">
        <f t="shared" si="39"/>
        <v>_</v>
      </c>
      <c r="T469" s="152" t="str">
        <f>+VLOOKUP($L469,Data_Validation!$A:$D,1,0)</f>
        <v>68A</v>
      </c>
      <c r="U469" s="152" t="str">
        <f>+VLOOKUP($L469,Data_Validation!$A:$D,3,0)</f>
        <v>Véhicules neufs</v>
      </c>
      <c r="V469" s="152" t="str">
        <f>+VLOOKUP($L469,Data_Validation!$A:$D,4,0)</f>
        <v>service gratuit 1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1649</v>
      </c>
      <c r="B470" s="718" t="s">
        <v>893</v>
      </c>
      <c r="C470" s="719">
        <v>1860.7</v>
      </c>
      <c r="D470" s="719">
        <v>834.86</v>
      </c>
      <c r="E470" s="719">
        <v>2695.56</v>
      </c>
      <c r="F470" s="718" t="s">
        <v>2229</v>
      </c>
      <c r="G470" s="718" t="s">
        <v>2258</v>
      </c>
      <c r="H470" s="719" t="s">
        <v>2971</v>
      </c>
      <c r="I470" s="720"/>
      <c r="J470" s="720"/>
      <c r="K470" s="720"/>
      <c r="L470" s="149" t="str">
        <f t="shared" si="35"/>
        <v>68C</v>
      </c>
      <c r="M470" s="150" t="str">
        <f t="shared" si="36"/>
        <v>TRAV. GRACIEUX - USAGE BMW</v>
      </c>
      <c r="N470" s="151">
        <f>+IF(OR($Q470=Parametres!$G$2,$Q470=Parametres!$G$3),I470,C470)</f>
        <v>1860.7</v>
      </c>
      <c r="O470" s="151">
        <f>+IF(OR($Q470=Parametres!$G$2,$Q470=Parametres!$G$3),J470,D470)</f>
        <v>834.86</v>
      </c>
      <c r="P470" s="151">
        <f>+IF(OR($Q470=Parametres!$G$2,$Q470=Parametres!$G$3),K470,E470)</f>
        <v>2695.56</v>
      </c>
      <c r="Q470" s="150" t="str">
        <f t="shared" si="37"/>
        <v>7-Dépenses</v>
      </c>
      <c r="R470" s="149" t="str">
        <f t="shared" si="38"/>
        <v>68</v>
      </c>
      <c r="S470" s="150" t="str">
        <f t="shared" si="39"/>
        <v>_</v>
      </c>
      <c r="T470" s="152" t="str">
        <f>+VLOOKUP($L470,Data_Validation!$A:$D,1,0)</f>
        <v>68C</v>
      </c>
      <c r="U470" s="152" t="str">
        <f>+VLOOKUP($L470,Data_Validation!$A:$D,3,0)</f>
        <v>Véhicules usagés</v>
      </c>
      <c r="V470" s="152" t="str">
        <f>+VLOOKUP($L470,Data_Validation!$A:$D,4,0)</f>
        <v>service gratuit 1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1113</v>
      </c>
      <c r="B471" s="718" t="s">
        <v>929</v>
      </c>
      <c r="C471" s="720">
        <v>3608.3</v>
      </c>
      <c r="D471" s="720">
        <v>2558.3200000000002</v>
      </c>
      <c r="E471" s="720">
        <v>6166.62</v>
      </c>
      <c r="F471" s="718" t="s">
        <v>2229</v>
      </c>
      <c r="G471" s="718" t="s">
        <v>2258</v>
      </c>
      <c r="H471" s="719" t="s">
        <v>2971</v>
      </c>
      <c r="I471" s="719"/>
      <c r="J471" s="719"/>
      <c r="K471" s="719"/>
      <c r="L471" s="149" t="str">
        <f t="shared" si="35"/>
        <v>68E</v>
      </c>
      <c r="M471" s="150" t="str">
        <f t="shared" si="36"/>
        <v>TRAV. GRACIEUX - SERV. BMW</v>
      </c>
      <c r="N471" s="151">
        <f>+IF(OR($Q471=Parametres!$G$2,$Q471=Parametres!$G$3),I471,C471)</f>
        <v>3608.3</v>
      </c>
      <c r="O471" s="151">
        <f>+IF(OR($Q471=Parametres!$G$2,$Q471=Parametres!$G$3),J471,D471)</f>
        <v>2558.3200000000002</v>
      </c>
      <c r="P471" s="151">
        <f>+IF(OR($Q471=Parametres!$G$2,$Q471=Parametres!$G$3),K471,E471)</f>
        <v>6166.62</v>
      </c>
      <c r="Q471" s="150" t="str">
        <f t="shared" si="37"/>
        <v>7-Dépenses</v>
      </c>
      <c r="R471" s="149" t="str">
        <f t="shared" si="38"/>
        <v>68</v>
      </c>
      <c r="S471" s="150" t="str">
        <f t="shared" si="39"/>
        <v>_</v>
      </c>
      <c r="T471" s="152" t="str">
        <f>+VLOOKUP($L471,Data_Validation!$A:$D,1,0)</f>
        <v>68E</v>
      </c>
      <c r="U471" s="152" t="str">
        <f>+VLOOKUP($L471,Data_Validation!$A:$D,3,0)</f>
        <v>Service</v>
      </c>
      <c r="V471" s="152" t="str">
        <f>+VLOOKUP($L471,Data_Validation!$A:$D,4,0)</f>
        <v>service gratuit 2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1638</v>
      </c>
      <c r="B472" s="718" t="s">
        <v>873</v>
      </c>
      <c r="C472" s="719">
        <v>182.75</v>
      </c>
      <c r="D472" s="719">
        <v>221.91</v>
      </c>
      <c r="E472" s="719">
        <v>404.66</v>
      </c>
      <c r="F472" s="718" t="s">
        <v>2229</v>
      </c>
      <c r="G472" s="718" t="s">
        <v>2258</v>
      </c>
      <c r="H472" s="719" t="s">
        <v>2971</v>
      </c>
      <c r="I472" s="720"/>
      <c r="J472" s="720"/>
      <c r="K472" s="720"/>
      <c r="L472" s="149" t="str">
        <f t="shared" si="35"/>
        <v>68G</v>
      </c>
      <c r="M472" s="150" t="str">
        <f t="shared" si="36"/>
        <v>TRAV. GRACIEUX - PIECE BMW</v>
      </c>
      <c r="N472" s="151">
        <f>+IF(OR($Q472=Parametres!$G$2,$Q472=Parametres!$G$3),I472,C472)</f>
        <v>182.75</v>
      </c>
      <c r="O472" s="151">
        <f>+IF(OR($Q472=Parametres!$G$2,$Q472=Parametres!$G$3),J472,D472)</f>
        <v>221.91</v>
      </c>
      <c r="P472" s="151">
        <f>+IF(OR($Q472=Parametres!$G$2,$Q472=Parametres!$G$3),K472,E472)</f>
        <v>404.66</v>
      </c>
      <c r="Q472" s="150" t="str">
        <f t="shared" si="37"/>
        <v>7-Dépenses</v>
      </c>
      <c r="R472" s="149" t="str">
        <f t="shared" si="38"/>
        <v>68</v>
      </c>
      <c r="S472" s="150" t="str">
        <f t="shared" si="39"/>
        <v>_</v>
      </c>
      <c r="T472" s="152" t="str">
        <f>+VLOOKUP($L472,Data_Validation!$A:$D,1,0)</f>
        <v>68G</v>
      </c>
      <c r="U472" s="152" t="str">
        <f>+VLOOKUP($L472,Data_Validation!$A:$D,3,0)</f>
        <v>pièces</v>
      </c>
      <c r="V472" s="152" t="str">
        <f>+VLOOKUP($L472,Data_Validation!$A:$D,4,0)</f>
        <v>service gratuit 2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1640</v>
      </c>
      <c r="B473" s="718" t="s">
        <v>913</v>
      </c>
      <c r="C473" s="720">
        <v>15240.59</v>
      </c>
      <c r="D473" s="720">
        <v>4823.25</v>
      </c>
      <c r="E473" s="720">
        <v>20063.84</v>
      </c>
      <c r="F473" s="718" t="s">
        <v>2229</v>
      </c>
      <c r="G473" s="718" t="s">
        <v>2285</v>
      </c>
      <c r="H473" s="607" t="s">
        <v>2971</v>
      </c>
      <c r="I473" s="608"/>
      <c r="J473" s="608"/>
      <c r="K473" s="608"/>
      <c r="L473" s="149" t="str">
        <f t="shared" si="35"/>
        <v>69A</v>
      </c>
      <c r="M473" s="150" t="str">
        <f t="shared" si="36"/>
        <v>FRAIS INFORMATIQUE - NEUF BMW</v>
      </c>
      <c r="N473" s="151">
        <f>+IF(OR($Q473=Parametres!$G$2,$Q473=Parametres!$G$3),I473,C473)</f>
        <v>15240.59</v>
      </c>
      <c r="O473" s="151">
        <f>+IF(OR($Q473=Parametres!$G$2,$Q473=Parametres!$G$3),J473,D473)</f>
        <v>4823.25</v>
      </c>
      <c r="P473" s="151">
        <f>+IF(OR($Q473=Parametres!$G$2,$Q473=Parametres!$G$3),K473,E473)</f>
        <v>20063.84</v>
      </c>
      <c r="Q473" s="150" t="str">
        <f t="shared" si="37"/>
        <v>7-Dépenses</v>
      </c>
      <c r="R473" s="149" t="str">
        <f t="shared" si="38"/>
        <v>69</v>
      </c>
      <c r="S473" s="150" t="str">
        <f t="shared" si="39"/>
        <v>_</v>
      </c>
      <c r="T473" s="152" t="str">
        <f>+VLOOKUP($L473,Data_Validation!$A:$D,1,0)</f>
        <v>69A</v>
      </c>
      <c r="U473" s="152" t="str">
        <f>+VLOOKUP($L473,Data_Validation!$A:$D,3,0)</f>
        <v>Véhicules neufs</v>
      </c>
      <c r="V473" s="152" t="str">
        <f>+VLOOKUP($L473,Data_Validation!$A:$D,4,0)</f>
        <v>informatique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1631</v>
      </c>
      <c r="B474" s="718" t="s">
        <v>876</v>
      </c>
      <c r="C474" s="719">
        <v>4437.9799999999996</v>
      </c>
      <c r="D474" s="719">
        <v>1412</v>
      </c>
      <c r="E474" s="719">
        <v>5849.98</v>
      </c>
      <c r="F474" s="718" t="s">
        <v>2229</v>
      </c>
      <c r="G474" s="718" t="s">
        <v>2285</v>
      </c>
      <c r="H474" s="719" t="s">
        <v>2971</v>
      </c>
      <c r="I474" s="720"/>
      <c r="J474" s="720"/>
      <c r="K474" s="720"/>
      <c r="L474" s="149" t="str">
        <f t="shared" si="35"/>
        <v>69C</v>
      </c>
      <c r="M474" s="150" t="str">
        <f t="shared" si="36"/>
        <v>FRAIS INFORMATIQUE - USAGE BMW</v>
      </c>
      <c r="N474" s="151">
        <f>+IF(OR($Q474=Parametres!$G$2,$Q474=Parametres!$G$3),I474,C474)</f>
        <v>4437.9799999999996</v>
      </c>
      <c r="O474" s="151">
        <f>+IF(OR($Q474=Parametres!$G$2,$Q474=Parametres!$G$3),J474,D474)</f>
        <v>1412</v>
      </c>
      <c r="P474" s="151">
        <f>+IF(OR($Q474=Parametres!$G$2,$Q474=Parametres!$G$3),K474,E474)</f>
        <v>5849.98</v>
      </c>
      <c r="Q474" s="150" t="str">
        <f t="shared" si="37"/>
        <v>7-Dépenses</v>
      </c>
      <c r="R474" s="149" t="str">
        <f t="shared" si="38"/>
        <v>69</v>
      </c>
      <c r="S474" s="150" t="str">
        <f t="shared" si="39"/>
        <v>_</v>
      </c>
      <c r="T474" s="152" t="str">
        <f>+VLOOKUP($L474,Data_Validation!$A:$D,1,0)</f>
        <v>69C</v>
      </c>
      <c r="U474" s="152" t="str">
        <f>+VLOOKUP($L474,Data_Validation!$A:$D,3,0)</f>
        <v>Véhicules usagés</v>
      </c>
      <c r="V474" s="152" t="str">
        <f>+VLOOKUP($L474,Data_Validation!$A:$D,4,0)</f>
        <v>informatique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1766</v>
      </c>
      <c r="B475" s="718" t="s">
        <v>931</v>
      </c>
      <c r="C475" s="720">
        <v>19666.61</v>
      </c>
      <c r="D475" s="720">
        <v>5978.7</v>
      </c>
      <c r="E475" s="720">
        <v>25645.31</v>
      </c>
      <c r="F475" s="718" t="s">
        <v>2229</v>
      </c>
      <c r="G475" s="718" t="s">
        <v>2285</v>
      </c>
      <c r="H475" s="666" t="s">
        <v>2971</v>
      </c>
      <c r="I475" s="665"/>
      <c r="J475" s="665"/>
      <c r="K475" s="665"/>
      <c r="L475" s="149" t="str">
        <f t="shared" si="35"/>
        <v>69E</v>
      </c>
      <c r="M475" s="150" t="str">
        <f t="shared" si="36"/>
        <v>FRAIS INFORMATIQUE - SERV. BMW</v>
      </c>
      <c r="N475" s="151">
        <f>+IF(OR($Q475=Parametres!$G$2,$Q475=Parametres!$G$3),I475,C475)</f>
        <v>19666.61</v>
      </c>
      <c r="O475" s="151">
        <f>+IF(OR($Q475=Parametres!$G$2,$Q475=Parametres!$G$3),J475,D475)</f>
        <v>5978.7</v>
      </c>
      <c r="P475" s="151">
        <f>+IF(OR($Q475=Parametres!$G$2,$Q475=Parametres!$G$3),K475,E475)</f>
        <v>25645.31</v>
      </c>
      <c r="Q475" s="150" t="str">
        <f t="shared" si="37"/>
        <v>7-Dépenses</v>
      </c>
      <c r="R475" s="149" t="str">
        <f t="shared" si="38"/>
        <v>69</v>
      </c>
      <c r="S475" s="150" t="str">
        <f t="shared" si="39"/>
        <v>_</v>
      </c>
      <c r="T475" s="152" t="str">
        <f>+VLOOKUP($L475,Data_Validation!$A:$D,1,0)</f>
        <v>69E</v>
      </c>
      <c r="U475" s="152" t="str">
        <f>+VLOOKUP($L475,Data_Validation!$A:$D,3,0)</f>
        <v>Service</v>
      </c>
      <c r="V475" s="152" t="str">
        <f>+VLOOKUP($L475,Data_Validation!$A:$D,4,0)</f>
        <v>informatique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1669</v>
      </c>
      <c r="B476" s="718" t="s">
        <v>884</v>
      </c>
      <c r="C476" s="720">
        <v>6164.1</v>
      </c>
      <c r="D476" s="720">
        <v>1828.98</v>
      </c>
      <c r="E476" s="720">
        <v>7993.08</v>
      </c>
      <c r="F476" s="718" t="s">
        <v>2229</v>
      </c>
      <c r="G476" s="718" t="s">
        <v>2285</v>
      </c>
      <c r="H476" s="673" t="s">
        <v>2971</v>
      </c>
      <c r="I476" s="672"/>
      <c r="J476" s="672"/>
      <c r="K476" s="672"/>
      <c r="L476" s="149" t="str">
        <f t="shared" si="35"/>
        <v>69G</v>
      </c>
      <c r="M476" s="150" t="str">
        <f t="shared" si="36"/>
        <v>FRAIS INFORMATIQUE - PIECE BMW</v>
      </c>
      <c r="N476" s="151">
        <f>+IF(OR($Q476=Parametres!$G$2,$Q476=Parametres!$G$3),I476,C476)</f>
        <v>6164.1</v>
      </c>
      <c r="O476" s="151">
        <f>+IF(OR($Q476=Parametres!$G$2,$Q476=Parametres!$G$3),J476,D476)</f>
        <v>1828.98</v>
      </c>
      <c r="P476" s="151">
        <f>+IF(OR($Q476=Parametres!$G$2,$Q476=Parametres!$G$3),K476,E476)</f>
        <v>7993.08</v>
      </c>
      <c r="Q476" s="150" t="str">
        <f t="shared" si="37"/>
        <v>7-Dépenses</v>
      </c>
      <c r="R476" s="149" t="str">
        <f t="shared" si="38"/>
        <v>69</v>
      </c>
      <c r="S476" s="150" t="str">
        <f t="shared" si="39"/>
        <v>_</v>
      </c>
      <c r="T476" s="152" t="str">
        <f>+VLOOKUP($L476,Data_Validation!$A:$D,1,0)</f>
        <v>69G</v>
      </c>
      <c r="U476" s="152" t="str">
        <f>+VLOOKUP($L476,Data_Validation!$A:$D,3,0)</f>
        <v>pièces</v>
      </c>
      <c r="V476" s="152" t="str">
        <f>+VLOOKUP($L476,Data_Validation!$A:$D,4,0)</f>
        <v>informatique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1750</v>
      </c>
      <c r="B477" s="718" t="s">
        <v>959</v>
      </c>
      <c r="C477" s="720">
        <v>10083.959999999999</v>
      </c>
      <c r="D477" s="720">
        <v>4615.6000000000004</v>
      </c>
      <c r="E477" s="720">
        <v>14699.56</v>
      </c>
      <c r="F477" s="718" t="s">
        <v>2229</v>
      </c>
      <c r="G477" s="718" t="s">
        <v>2282</v>
      </c>
      <c r="H477" s="673" t="s">
        <v>2971</v>
      </c>
      <c r="I477" s="672"/>
      <c r="J477" s="672"/>
      <c r="K477" s="672"/>
      <c r="L477" s="149" t="str">
        <f t="shared" si="35"/>
        <v>70A</v>
      </c>
      <c r="M477" s="150" t="str">
        <f t="shared" si="36"/>
        <v>SERV. EXTERIEURS - NEUF BMW</v>
      </c>
      <c r="N477" s="151">
        <f>+IF(OR($Q477=Parametres!$G$2,$Q477=Parametres!$G$3),I477,C477)</f>
        <v>10083.959999999999</v>
      </c>
      <c r="O477" s="151">
        <f>+IF(OR($Q477=Parametres!$G$2,$Q477=Parametres!$G$3),J477,D477)</f>
        <v>4615.6000000000004</v>
      </c>
      <c r="P477" s="151">
        <f>+IF(OR($Q477=Parametres!$G$2,$Q477=Parametres!$G$3),K477,E477)</f>
        <v>14699.56</v>
      </c>
      <c r="Q477" s="150" t="str">
        <f t="shared" si="37"/>
        <v>7-Dépenses</v>
      </c>
      <c r="R477" s="149" t="str">
        <f t="shared" si="38"/>
        <v>70</v>
      </c>
      <c r="S477" s="150" t="str">
        <f t="shared" si="39"/>
        <v>_</v>
      </c>
      <c r="T477" s="152" t="str">
        <f>+VLOOKUP($L477,Data_Validation!$A:$D,1,0)</f>
        <v>70A</v>
      </c>
      <c r="U477" s="152" t="str">
        <f>+VLOOKUP($L477,Data_Validation!$A:$D,3,0)</f>
        <v>Véhicules neufs</v>
      </c>
      <c r="V477" s="152" t="str">
        <f>+VLOOKUP($L477,Data_Validation!$A:$D,4,0)</f>
        <v>services extérieurs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1674</v>
      </c>
      <c r="B478" s="718" t="s">
        <v>851</v>
      </c>
      <c r="C478" s="719">
        <v>2270.98</v>
      </c>
      <c r="D478" s="719">
        <v>1032.31</v>
      </c>
      <c r="E478" s="719">
        <v>3303.29</v>
      </c>
      <c r="F478" s="718" t="s">
        <v>2229</v>
      </c>
      <c r="G478" s="718" t="s">
        <v>2282</v>
      </c>
      <c r="H478" s="719" t="s">
        <v>2971</v>
      </c>
      <c r="I478" s="720"/>
      <c r="J478" s="720"/>
      <c r="K478" s="720"/>
      <c r="L478" s="149" t="str">
        <f t="shared" si="35"/>
        <v>70C</v>
      </c>
      <c r="M478" s="150" t="str">
        <f t="shared" si="36"/>
        <v>SERV. EXTERIEURS - USAGE BMW</v>
      </c>
      <c r="N478" s="151">
        <f>+IF(OR($Q478=Parametres!$G$2,$Q478=Parametres!$G$3),I478,C478)</f>
        <v>2270.98</v>
      </c>
      <c r="O478" s="151">
        <f>+IF(OR($Q478=Parametres!$G$2,$Q478=Parametres!$G$3),J478,D478)</f>
        <v>1032.31</v>
      </c>
      <c r="P478" s="151">
        <f>+IF(OR($Q478=Parametres!$G$2,$Q478=Parametres!$G$3),K478,E478)</f>
        <v>3303.29</v>
      </c>
      <c r="Q478" s="150" t="str">
        <f t="shared" si="37"/>
        <v>7-Dépenses</v>
      </c>
      <c r="R478" s="149" t="str">
        <f t="shared" si="38"/>
        <v>70</v>
      </c>
      <c r="S478" s="150" t="str">
        <f t="shared" si="39"/>
        <v>_</v>
      </c>
      <c r="T478" s="152" t="str">
        <f>+VLOOKUP($L478,Data_Validation!$A:$D,1,0)</f>
        <v>70C</v>
      </c>
      <c r="U478" s="152" t="str">
        <f>+VLOOKUP($L478,Data_Validation!$A:$D,3,0)</f>
        <v>Véhicules usagés</v>
      </c>
      <c r="V478" s="152" t="str">
        <f>+VLOOKUP($L478,Data_Validation!$A:$D,4,0)</f>
        <v>services extérieurs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1799</v>
      </c>
      <c r="B479" s="718" t="s">
        <v>933</v>
      </c>
      <c r="C479" s="719">
        <v>9383.91</v>
      </c>
      <c r="D479" s="719">
        <v>2555.9899999999998</v>
      </c>
      <c r="E479" s="719">
        <v>11939.9</v>
      </c>
      <c r="F479" s="718" t="s">
        <v>2229</v>
      </c>
      <c r="G479" s="718" t="s">
        <v>2282</v>
      </c>
      <c r="H479" s="719" t="s">
        <v>2971</v>
      </c>
      <c r="I479" s="720"/>
      <c r="J479" s="720"/>
      <c r="K479" s="720"/>
      <c r="L479" s="149" t="str">
        <f t="shared" si="35"/>
        <v>70E</v>
      </c>
      <c r="M479" s="150" t="str">
        <f t="shared" si="36"/>
        <v>SERV. EXTERIEURS - SERV. BMW</v>
      </c>
      <c r="N479" s="151">
        <f>+IF(OR($Q479=Parametres!$G$2,$Q479=Parametres!$G$3),I479,C479)</f>
        <v>9383.91</v>
      </c>
      <c r="O479" s="151">
        <f>+IF(OR($Q479=Parametres!$G$2,$Q479=Parametres!$G$3),J479,D479)</f>
        <v>2555.9899999999998</v>
      </c>
      <c r="P479" s="151">
        <f>+IF(OR($Q479=Parametres!$G$2,$Q479=Parametres!$G$3),K479,E479)</f>
        <v>11939.9</v>
      </c>
      <c r="Q479" s="150" t="str">
        <f t="shared" si="37"/>
        <v>7-Dépenses</v>
      </c>
      <c r="R479" s="149" t="str">
        <f t="shared" si="38"/>
        <v>70</v>
      </c>
      <c r="S479" s="150" t="str">
        <f t="shared" si="39"/>
        <v>_</v>
      </c>
      <c r="T479" s="152" t="str">
        <f>+VLOOKUP($L479,Data_Validation!$A:$D,1,0)</f>
        <v>70E</v>
      </c>
      <c r="U479" s="152" t="str">
        <f>+VLOOKUP($L479,Data_Validation!$A:$D,3,0)</f>
        <v>Service</v>
      </c>
      <c r="V479" s="152" t="str">
        <f>+VLOOKUP($L479,Data_Validation!$A:$D,4,0)</f>
        <v>services extérieurs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1734</v>
      </c>
      <c r="B480" s="718" t="s">
        <v>920</v>
      </c>
      <c r="C480" s="720">
        <v>4401.6000000000004</v>
      </c>
      <c r="D480" s="720">
        <v>2019.82</v>
      </c>
      <c r="E480" s="720">
        <v>6421.42</v>
      </c>
      <c r="F480" s="718" t="s">
        <v>2229</v>
      </c>
      <c r="G480" s="718" t="s">
        <v>2282</v>
      </c>
      <c r="H480" s="673" t="s">
        <v>2971</v>
      </c>
      <c r="I480" s="673"/>
      <c r="J480" s="673"/>
      <c r="K480" s="673"/>
      <c r="L480" s="149" t="str">
        <f t="shared" si="35"/>
        <v>70G</v>
      </c>
      <c r="M480" s="150" t="str">
        <f t="shared" si="36"/>
        <v>SERV. EXTERIEURS - PIECE BMW</v>
      </c>
      <c r="N480" s="151">
        <f>+IF(OR($Q480=Parametres!$G$2,$Q480=Parametres!$G$3),I480,C480)</f>
        <v>4401.6000000000004</v>
      </c>
      <c r="O480" s="151">
        <f>+IF(OR($Q480=Parametres!$G$2,$Q480=Parametres!$G$3),J480,D480)</f>
        <v>2019.82</v>
      </c>
      <c r="P480" s="151">
        <f>+IF(OR($Q480=Parametres!$G$2,$Q480=Parametres!$G$3),K480,E480)</f>
        <v>6421.42</v>
      </c>
      <c r="Q480" s="150" t="str">
        <f t="shared" si="37"/>
        <v>7-Dépenses</v>
      </c>
      <c r="R480" s="149" t="str">
        <f t="shared" si="38"/>
        <v>70</v>
      </c>
      <c r="S480" s="150" t="str">
        <f t="shared" si="39"/>
        <v>_</v>
      </c>
      <c r="T480" s="152" t="str">
        <f>+VLOOKUP($L480,Data_Validation!$A:$D,1,0)</f>
        <v>70G</v>
      </c>
      <c r="U480" s="152" t="str">
        <f>+VLOOKUP($L480,Data_Validation!$A:$D,3,0)</f>
        <v>pièces</v>
      </c>
      <c r="V480" s="152" t="str">
        <f>+VLOOKUP($L480,Data_Validation!$A:$D,4,0)</f>
        <v>services extérieurs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2855</v>
      </c>
      <c r="B481" s="718" t="s">
        <v>2844</v>
      </c>
      <c r="C481" s="720">
        <v>1950</v>
      </c>
      <c r="D481" s="720">
        <v>925</v>
      </c>
      <c r="E481" s="720">
        <v>2875</v>
      </c>
      <c r="F481" s="718" t="s">
        <v>2229</v>
      </c>
      <c r="G481" s="718" t="s">
        <v>2282</v>
      </c>
      <c r="H481" s="673" t="s">
        <v>2971</v>
      </c>
      <c r="I481" s="672"/>
      <c r="J481" s="672"/>
      <c r="K481" s="672"/>
      <c r="L481" s="149" t="str">
        <f t="shared" si="35"/>
        <v>70L</v>
      </c>
      <c r="M481" s="150" t="str">
        <f t="shared" si="36"/>
        <v>CAMION PIECES - PIECES BMW</v>
      </c>
      <c r="N481" s="151">
        <f>+IF(OR($Q481=Parametres!$G$2,$Q481=Parametres!$G$3),I481,C481)</f>
        <v>1950</v>
      </c>
      <c r="O481" s="504">
        <f>+IF(OR($Q481=Parametres!$G$2,$Q481=Parametres!$G$3),J481,D481)</f>
        <v>925</v>
      </c>
      <c r="P481" s="151">
        <f>+IF(OR($Q481=Parametres!$G$2,$Q481=Parametres!$G$3),K481,E481)</f>
        <v>2875</v>
      </c>
      <c r="Q481" s="150" t="str">
        <f t="shared" si="37"/>
        <v>7-Dépenses</v>
      </c>
      <c r="R481" s="149" t="str">
        <f t="shared" si="38"/>
        <v>70</v>
      </c>
      <c r="S481" s="150" t="str">
        <f t="shared" si="39"/>
        <v>_</v>
      </c>
      <c r="T481" s="152" t="str">
        <f>+VLOOKUP($L481,Data_Validation!$A:$D,1,0)</f>
        <v>70L</v>
      </c>
      <c r="U481" s="152" t="str">
        <f>+VLOOKUP($L481,Data_Validation!$A:$D,3,0)</f>
        <v>Pièces</v>
      </c>
      <c r="V481" s="152" t="str">
        <f>+VLOOKUP($L481,Data_Validation!$A:$D,4,0)</f>
        <v>Services extérieurs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1156</v>
      </c>
      <c r="B482" s="718" t="s">
        <v>800</v>
      </c>
      <c r="C482" s="720">
        <v>2245.0500000000002</v>
      </c>
      <c r="D482" s="720">
        <v>1180.26</v>
      </c>
      <c r="E482" s="720">
        <v>3425.31</v>
      </c>
      <c r="F482" s="718" t="s">
        <v>2229</v>
      </c>
      <c r="G482" s="718" t="s">
        <v>2267</v>
      </c>
      <c r="H482" s="609" t="s">
        <v>2971</v>
      </c>
      <c r="I482" s="609"/>
      <c r="J482" s="609"/>
      <c r="K482" s="609"/>
      <c r="L482" s="149" t="str">
        <f t="shared" si="35"/>
        <v>71A</v>
      </c>
      <c r="M482" s="150" t="str">
        <f t="shared" si="36"/>
        <v>FRAIS REPRESENTATION - NEUF BMW</v>
      </c>
      <c r="N482" s="151">
        <f>+IF(OR($Q482=Parametres!$G$2,$Q482=Parametres!$G$3),I482,C482)</f>
        <v>2245.0500000000002</v>
      </c>
      <c r="O482" s="151">
        <f>+IF(OR($Q482=Parametres!$G$2,$Q482=Parametres!$G$3),J482,D482)</f>
        <v>1180.26</v>
      </c>
      <c r="P482" s="151">
        <f>+IF(OR($Q482=Parametres!$G$2,$Q482=Parametres!$G$3),K482,E482)</f>
        <v>3425.31</v>
      </c>
      <c r="Q482" s="150" t="str">
        <f t="shared" si="37"/>
        <v>7-Dépenses</v>
      </c>
      <c r="R482" s="149" t="str">
        <f t="shared" si="38"/>
        <v>71</v>
      </c>
      <c r="S482" s="150" t="str">
        <f t="shared" si="39"/>
        <v>_</v>
      </c>
      <c r="T482" s="152" t="str">
        <f>+VLOOKUP($L482,Data_Validation!$A:$D,1,0)</f>
        <v>71A</v>
      </c>
      <c r="U482" s="152" t="str">
        <f>+VLOOKUP($L482,Data_Validation!$A:$D,3,0)</f>
        <v>Véhicules neufs</v>
      </c>
      <c r="V482" s="152" t="str">
        <f>+VLOOKUP($L482,Data_Validation!$A:$D,4,0)</f>
        <v>Frais de déplacement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1201</v>
      </c>
      <c r="B483" s="718" t="s">
        <v>796</v>
      </c>
      <c r="C483" s="719">
        <v>466.96</v>
      </c>
      <c r="D483" s="719">
        <v>247</v>
      </c>
      <c r="E483" s="719">
        <v>713.96</v>
      </c>
      <c r="F483" s="718" t="s">
        <v>2229</v>
      </c>
      <c r="G483" s="718" t="s">
        <v>2267</v>
      </c>
      <c r="H483" s="719" t="s">
        <v>2971</v>
      </c>
      <c r="I483" s="720"/>
      <c r="J483" s="720"/>
      <c r="K483" s="720"/>
      <c r="L483" s="149" t="str">
        <f t="shared" si="35"/>
        <v>71C</v>
      </c>
      <c r="M483" s="150" t="str">
        <f t="shared" si="36"/>
        <v>FRAIS REPRESENTATION - USAGE BMW</v>
      </c>
      <c r="N483" s="151">
        <f>+IF(OR($Q483=Parametres!$G$2,$Q483=Parametres!$G$3),I483,C483)</f>
        <v>466.96</v>
      </c>
      <c r="O483" s="151">
        <f>+IF(OR($Q483=Parametres!$G$2,$Q483=Parametres!$G$3),J483,D483)</f>
        <v>247</v>
      </c>
      <c r="P483" s="151">
        <f>+IF(OR($Q483=Parametres!$G$2,$Q483=Parametres!$G$3),K483,E483)</f>
        <v>713.96</v>
      </c>
      <c r="Q483" s="150" t="str">
        <f t="shared" si="37"/>
        <v>7-Dépenses</v>
      </c>
      <c r="R483" s="149" t="str">
        <f t="shared" si="38"/>
        <v>71</v>
      </c>
      <c r="S483" s="150" t="str">
        <f t="shared" si="39"/>
        <v>_</v>
      </c>
      <c r="T483" s="152" t="str">
        <f>+VLOOKUP($L483,Data_Validation!$A:$D,1,0)</f>
        <v>71C</v>
      </c>
      <c r="U483" s="152" t="str">
        <f>+VLOOKUP($L483,Data_Validation!$A:$D,3,0)</f>
        <v>Véhicules usagés</v>
      </c>
      <c r="V483" s="152" t="str">
        <f>+VLOOKUP($L483,Data_Validation!$A:$D,4,0)</f>
        <v>Frais de déplacement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1182</v>
      </c>
      <c r="B484" s="718" t="s">
        <v>790</v>
      </c>
      <c r="C484" s="720">
        <v>7285.11</v>
      </c>
      <c r="D484" s="720">
        <v>846.92</v>
      </c>
      <c r="E484" s="720">
        <v>8132.03</v>
      </c>
      <c r="F484" s="718" t="s">
        <v>2229</v>
      </c>
      <c r="G484" s="718" t="s">
        <v>2267</v>
      </c>
      <c r="H484" s="673" t="s">
        <v>2971</v>
      </c>
      <c r="I484" s="673"/>
      <c r="J484" s="673"/>
      <c r="K484" s="673"/>
      <c r="L484" s="149" t="str">
        <f t="shared" si="35"/>
        <v>71E</v>
      </c>
      <c r="M484" s="508" t="str">
        <f t="shared" si="36"/>
        <v>FRAIS REPRESENTATION - SERV. BMW</v>
      </c>
      <c r="N484" s="151">
        <f>+IF(OR($Q484=Parametres!$G$2,$Q484=Parametres!$G$3),I484,C484)</f>
        <v>7285.11</v>
      </c>
      <c r="O484" s="509">
        <f>+IF(OR($Q484=Parametres!$G$2,$Q484=Parametres!$G$3),J484,D484)</f>
        <v>846.92</v>
      </c>
      <c r="P484" s="510">
        <f>+IF(OR($Q484=Parametres!$G$2,$Q484=Parametres!$G$3),K484,E484)</f>
        <v>8132.03</v>
      </c>
      <c r="Q484" s="150" t="str">
        <f t="shared" si="37"/>
        <v>7-Dépenses</v>
      </c>
      <c r="R484" s="149" t="str">
        <f t="shared" si="38"/>
        <v>71</v>
      </c>
      <c r="S484" s="150" t="str">
        <f t="shared" si="39"/>
        <v>_</v>
      </c>
      <c r="T484" s="152" t="str">
        <f>+VLOOKUP($L484,Data_Validation!$A:$D,1,0)</f>
        <v>71E</v>
      </c>
      <c r="U484" s="152" t="str">
        <f>+VLOOKUP($L484,Data_Validation!$A:$D,3,0)</f>
        <v>Service</v>
      </c>
      <c r="V484" s="152" t="str">
        <f>+VLOOKUP($L484,Data_Validation!$A:$D,4,0)</f>
        <v>Frais de déplacement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1180</v>
      </c>
      <c r="B485" s="718" t="s">
        <v>778</v>
      </c>
      <c r="C485" s="720">
        <v>916.24</v>
      </c>
      <c r="D485" s="720">
        <v>494</v>
      </c>
      <c r="E485" s="720">
        <v>1410.24</v>
      </c>
      <c r="F485" s="718" t="s">
        <v>2229</v>
      </c>
      <c r="G485" s="718" t="s">
        <v>2267</v>
      </c>
      <c r="H485" s="673" t="s">
        <v>2971</v>
      </c>
      <c r="I485" s="672"/>
      <c r="J485" s="672"/>
      <c r="K485" s="672"/>
      <c r="L485" s="149" t="str">
        <f t="shared" si="35"/>
        <v>71G</v>
      </c>
      <c r="M485" s="150" t="str">
        <f t="shared" si="36"/>
        <v>FRAIS REPRESENTATION - PIECE BMW</v>
      </c>
      <c r="N485" s="151">
        <f>+IF(OR($Q485=Parametres!$G$2,$Q485=Parametres!$G$3),I485,C485)</f>
        <v>916.24</v>
      </c>
      <c r="O485" s="151">
        <f>+IF(OR($Q485=Parametres!$G$2,$Q485=Parametres!$G$3),J485,D485)</f>
        <v>494</v>
      </c>
      <c r="P485" s="151">
        <f>+IF(OR($Q485=Parametres!$G$2,$Q485=Parametres!$G$3),K485,E485)</f>
        <v>1410.24</v>
      </c>
      <c r="Q485" s="150" t="str">
        <f t="shared" si="37"/>
        <v>7-Dépenses</v>
      </c>
      <c r="R485" s="149" t="str">
        <f t="shared" si="38"/>
        <v>71</v>
      </c>
      <c r="S485" s="150" t="str">
        <f t="shared" si="39"/>
        <v>_</v>
      </c>
      <c r="T485" s="152" t="str">
        <f>+VLOOKUP($L485,Data_Validation!$A:$D,1,0)</f>
        <v>71G</v>
      </c>
      <c r="U485" s="152" t="str">
        <f>+VLOOKUP($L485,Data_Validation!$A:$D,3,0)</f>
        <v>pièces</v>
      </c>
      <c r="V485" s="152" t="str">
        <f>+VLOOKUP($L485,Data_Validation!$A:$D,4,0)</f>
        <v>Frais de déplacement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1233</v>
      </c>
      <c r="B486" s="718" t="s">
        <v>808</v>
      </c>
      <c r="C486" s="719">
        <v>476.55</v>
      </c>
      <c r="D486" s="719">
        <v>158.85</v>
      </c>
      <c r="E486" s="719">
        <v>635.4</v>
      </c>
      <c r="F486" s="718" t="s">
        <v>2229</v>
      </c>
      <c r="G486" s="718" t="s">
        <v>2264</v>
      </c>
      <c r="H486" s="719" t="s">
        <v>2971</v>
      </c>
      <c r="I486" s="720"/>
      <c r="J486" s="720"/>
      <c r="K486" s="720"/>
      <c r="L486" s="149" t="str">
        <f t="shared" si="35"/>
        <v>72A</v>
      </c>
      <c r="M486" s="150" t="str">
        <f t="shared" si="36"/>
        <v>COTIS. &amp; ABONN. - NEUF BMW</v>
      </c>
      <c r="N486" s="151">
        <f>+IF(OR($Q486=Parametres!$G$2,$Q486=Parametres!$G$3),I486,C486)</f>
        <v>476.55</v>
      </c>
      <c r="O486" s="151">
        <f>+IF(OR($Q486=Parametres!$G$2,$Q486=Parametres!$G$3),J486,D486)</f>
        <v>158.85</v>
      </c>
      <c r="P486" s="151">
        <f>+IF(OR($Q486=Parametres!$G$2,$Q486=Parametres!$G$3),K486,E486)</f>
        <v>635.4</v>
      </c>
      <c r="Q486" s="150" t="str">
        <f t="shared" si="37"/>
        <v>7-Dépenses</v>
      </c>
      <c r="R486" s="149" t="str">
        <f t="shared" si="38"/>
        <v>72</v>
      </c>
      <c r="S486" s="150" t="str">
        <f t="shared" si="39"/>
        <v>_</v>
      </c>
      <c r="T486" s="152" t="str">
        <f>+VLOOKUP($L486,Data_Validation!$A:$D,1,0)</f>
        <v>72A</v>
      </c>
      <c r="U486" s="152" t="str">
        <f>+VLOOKUP($L486,Data_Validation!$A:$D,3,0)</f>
        <v>Véhicules neufs</v>
      </c>
      <c r="V486" s="152" t="str">
        <f>+VLOOKUP($L486,Data_Validation!$A:$D,4,0)</f>
        <v>divers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1239</v>
      </c>
      <c r="B487" s="718" t="s">
        <v>776</v>
      </c>
      <c r="C487" s="720">
        <v>105.9</v>
      </c>
      <c r="D487" s="720">
        <v>35.299999999999997</v>
      </c>
      <c r="E487" s="720">
        <v>141.19999999999999</v>
      </c>
      <c r="F487" s="718" t="s">
        <v>2229</v>
      </c>
      <c r="G487" s="718" t="s">
        <v>2264</v>
      </c>
      <c r="H487" s="666" t="s">
        <v>2971</v>
      </c>
      <c r="I487" s="665"/>
      <c r="J487" s="665"/>
      <c r="K487" s="665"/>
      <c r="L487" s="149" t="str">
        <f t="shared" si="35"/>
        <v>72C</v>
      </c>
      <c r="M487" s="150" t="str">
        <f t="shared" si="36"/>
        <v>COTIS. &amp; ABONN. - USAGE BMW</v>
      </c>
      <c r="N487" s="151">
        <f>+IF(OR($Q487=Parametres!$G$2,$Q487=Parametres!$G$3),I487,C487)</f>
        <v>105.9</v>
      </c>
      <c r="O487" s="151">
        <f>+IF(OR($Q487=Parametres!$G$2,$Q487=Parametres!$G$3),J487,D487)</f>
        <v>35.299999999999997</v>
      </c>
      <c r="P487" s="151">
        <f>+IF(OR($Q487=Parametres!$G$2,$Q487=Parametres!$G$3),K487,E487)</f>
        <v>141.19999999999999</v>
      </c>
      <c r="Q487" s="150" t="str">
        <f t="shared" si="37"/>
        <v>7-Dépenses</v>
      </c>
      <c r="R487" s="149" t="str">
        <f t="shared" si="38"/>
        <v>72</v>
      </c>
      <c r="S487" s="150" t="str">
        <f t="shared" si="39"/>
        <v>_</v>
      </c>
      <c r="T487" s="152" t="str">
        <f>+VLOOKUP($L487,Data_Validation!$A:$D,1,0)</f>
        <v>72C</v>
      </c>
      <c r="U487" s="152" t="str">
        <f>+VLOOKUP($L487,Data_Validation!$A:$D,3,0)</f>
        <v>Véhicules usagés</v>
      </c>
      <c r="V487" s="152" t="str">
        <f>+VLOOKUP($L487,Data_Validation!$A:$D,4,0)</f>
        <v>divers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1236</v>
      </c>
      <c r="B488" s="718" t="s">
        <v>794</v>
      </c>
      <c r="C488" s="720">
        <v>264.75</v>
      </c>
      <c r="D488" s="720">
        <v>88.25</v>
      </c>
      <c r="E488" s="720">
        <v>353</v>
      </c>
      <c r="F488" s="718" t="s">
        <v>2229</v>
      </c>
      <c r="G488" s="718" t="s">
        <v>2264</v>
      </c>
      <c r="H488" s="673" t="s">
        <v>2971</v>
      </c>
      <c r="I488" s="672"/>
      <c r="J488" s="672"/>
      <c r="K488" s="672"/>
      <c r="L488" s="149" t="str">
        <f t="shared" si="35"/>
        <v>72E</v>
      </c>
      <c r="M488" s="150" t="str">
        <f t="shared" si="36"/>
        <v>COTIS. &amp; ABONN. - SERV. BMW</v>
      </c>
      <c r="N488" s="151">
        <f>+IF(OR($Q488=Parametres!$G$2,$Q488=Parametres!$G$3),I488,C488)</f>
        <v>264.75</v>
      </c>
      <c r="O488" s="151">
        <f>+IF(OR($Q488=Parametres!$G$2,$Q488=Parametres!$G$3),J488,D488)</f>
        <v>88.25</v>
      </c>
      <c r="P488" s="151">
        <f>+IF(OR($Q488=Parametres!$G$2,$Q488=Parametres!$G$3),K488,E488)</f>
        <v>353</v>
      </c>
      <c r="Q488" s="150" t="str">
        <f t="shared" si="37"/>
        <v>7-Dépenses</v>
      </c>
      <c r="R488" s="149" t="str">
        <f t="shared" si="38"/>
        <v>72</v>
      </c>
      <c r="S488" s="150" t="str">
        <f t="shared" si="39"/>
        <v>_</v>
      </c>
      <c r="T488" s="152" t="str">
        <f>+VLOOKUP($L488,Data_Validation!$A:$D,1,0)</f>
        <v>72E</v>
      </c>
      <c r="U488" s="152" t="str">
        <f>+VLOOKUP($L488,Data_Validation!$A:$D,3,0)</f>
        <v>Service</v>
      </c>
      <c r="V488" s="152" t="str">
        <f>+VLOOKUP($L488,Data_Validation!$A:$D,4,0)</f>
        <v>divers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1237</v>
      </c>
      <c r="B489" s="718" t="s">
        <v>792</v>
      </c>
      <c r="C489" s="720">
        <v>211.8</v>
      </c>
      <c r="D489" s="720">
        <v>70.599999999999994</v>
      </c>
      <c r="E489" s="720">
        <v>282.39999999999998</v>
      </c>
      <c r="F489" s="718" t="s">
        <v>2229</v>
      </c>
      <c r="G489" s="718" t="s">
        <v>2264</v>
      </c>
      <c r="H489" s="666" t="s">
        <v>2971</v>
      </c>
      <c r="I489" s="665"/>
      <c r="J489" s="665"/>
      <c r="K489" s="665"/>
      <c r="L489" s="149" t="str">
        <f t="shared" si="35"/>
        <v>72G</v>
      </c>
      <c r="M489" s="150" t="str">
        <f t="shared" si="36"/>
        <v>COTIS. &amp; ABONN. - PIECE BMW</v>
      </c>
      <c r="N489" s="151">
        <f>+IF(OR($Q489=Parametres!$G$2,$Q489=Parametres!$G$3),I489,C489)</f>
        <v>211.8</v>
      </c>
      <c r="O489" s="151">
        <f>+IF(OR($Q489=Parametres!$G$2,$Q489=Parametres!$G$3),J489,D489)</f>
        <v>70.599999999999994</v>
      </c>
      <c r="P489" s="151">
        <f>+IF(OR($Q489=Parametres!$G$2,$Q489=Parametres!$G$3),K489,E489)</f>
        <v>282.39999999999998</v>
      </c>
      <c r="Q489" s="150" t="str">
        <f t="shared" si="37"/>
        <v>7-Dépenses</v>
      </c>
      <c r="R489" s="149" t="str">
        <f t="shared" si="38"/>
        <v>72</v>
      </c>
      <c r="S489" s="150" t="str">
        <f t="shared" si="39"/>
        <v>_</v>
      </c>
      <c r="T489" s="152" t="str">
        <f>+VLOOKUP($L489,Data_Validation!$A:$D,1,0)</f>
        <v>72G</v>
      </c>
      <c r="U489" s="152" t="str">
        <f>+VLOOKUP($L489,Data_Validation!$A:$D,3,0)</f>
        <v>pièces</v>
      </c>
      <c r="V489" s="152" t="str">
        <f>+VLOOKUP($L489,Data_Validation!$A:$D,4,0)</f>
        <v>divers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1730</v>
      </c>
      <c r="B490" s="718" t="s">
        <v>926</v>
      </c>
      <c r="C490" s="720">
        <v>6512.27</v>
      </c>
      <c r="D490" s="720">
        <v>4475.8900000000003</v>
      </c>
      <c r="E490" s="720">
        <v>10988.16</v>
      </c>
      <c r="F490" s="718" t="s">
        <v>2229</v>
      </c>
      <c r="G490" s="718" t="s">
        <v>2283</v>
      </c>
      <c r="H490" s="673" t="s">
        <v>2971</v>
      </c>
      <c r="I490" s="672"/>
      <c r="J490" s="672"/>
      <c r="K490" s="672"/>
      <c r="L490" s="149" t="str">
        <f t="shared" si="35"/>
        <v>73A</v>
      </c>
      <c r="M490" s="150" t="str">
        <f t="shared" si="36"/>
        <v>REMISE CARTE CREDIT - NEUF BMW</v>
      </c>
      <c r="N490" s="151">
        <f>+IF(OR($Q490=Parametres!$G$2,$Q490=Parametres!$G$3),I490,C490)</f>
        <v>6512.27</v>
      </c>
      <c r="O490" s="151">
        <f>+IF(OR($Q490=Parametres!$G$2,$Q490=Parametres!$G$3),J490,D490)</f>
        <v>4475.8900000000003</v>
      </c>
      <c r="P490" s="151">
        <f>+IF(OR($Q490=Parametres!$G$2,$Q490=Parametres!$G$3),K490,E490)</f>
        <v>10988.16</v>
      </c>
      <c r="Q490" s="150" t="str">
        <f t="shared" si="37"/>
        <v>7-Dépenses</v>
      </c>
      <c r="R490" s="149" t="str">
        <f t="shared" si="38"/>
        <v>73</v>
      </c>
      <c r="S490" s="150" t="str">
        <f t="shared" si="39"/>
        <v>_</v>
      </c>
      <c r="T490" s="152" t="str">
        <f>+VLOOKUP($L490,Data_Validation!$A:$D,1,0)</f>
        <v>73A</v>
      </c>
      <c r="U490" s="152" t="str">
        <f>+VLOOKUP($L490,Data_Validation!$A:$D,3,0)</f>
        <v>Véhicules neufs</v>
      </c>
      <c r="V490" s="152" t="str">
        <f>+VLOOKUP($L490,Data_Validation!$A:$D,4,0)</f>
        <v>frais bancaires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1667</v>
      </c>
      <c r="B491" s="718" t="s">
        <v>863</v>
      </c>
      <c r="C491" s="720">
        <v>1447.18</v>
      </c>
      <c r="D491" s="720">
        <v>994.64</v>
      </c>
      <c r="E491" s="720">
        <v>2441.8200000000002</v>
      </c>
      <c r="F491" s="718" t="s">
        <v>2229</v>
      </c>
      <c r="G491" s="718" t="s">
        <v>2283</v>
      </c>
      <c r="H491" s="673" t="s">
        <v>2971</v>
      </c>
      <c r="I491" s="672"/>
      <c r="J491" s="672"/>
      <c r="K491" s="672"/>
      <c r="L491" s="149" t="str">
        <f t="shared" si="35"/>
        <v>73C</v>
      </c>
      <c r="M491" s="150" t="str">
        <f t="shared" si="36"/>
        <v>REMISE CARTE CREDIT - USAGE BMW</v>
      </c>
      <c r="N491" s="151">
        <f>+IF(OR($Q491=Parametres!$G$2,$Q491=Parametres!$G$3),I491,C491)</f>
        <v>1447.18</v>
      </c>
      <c r="O491" s="151">
        <f>+IF(OR($Q491=Parametres!$G$2,$Q491=Parametres!$G$3),J491,D491)</f>
        <v>994.64</v>
      </c>
      <c r="P491" s="151">
        <f>+IF(OR($Q491=Parametres!$G$2,$Q491=Parametres!$G$3),K491,E491)</f>
        <v>2441.8200000000002</v>
      </c>
      <c r="Q491" s="150" t="str">
        <f t="shared" si="37"/>
        <v>7-Dépenses</v>
      </c>
      <c r="R491" s="149" t="str">
        <f t="shared" si="38"/>
        <v>73</v>
      </c>
      <c r="S491" s="150" t="str">
        <f t="shared" si="39"/>
        <v>_</v>
      </c>
      <c r="T491" s="152" t="str">
        <f>+VLOOKUP($L491,Data_Validation!$A:$D,1,0)</f>
        <v>73C</v>
      </c>
      <c r="U491" s="152" t="str">
        <f>+VLOOKUP($L491,Data_Validation!$A:$D,3,0)</f>
        <v>Véhicules usagés</v>
      </c>
      <c r="V491" s="152" t="str">
        <f>+VLOOKUP($L491,Data_Validation!$A:$D,4,0)</f>
        <v>frais bancaires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1692</v>
      </c>
      <c r="B492" s="718" t="s">
        <v>899</v>
      </c>
      <c r="C492" s="719">
        <v>3617.93</v>
      </c>
      <c r="D492" s="719">
        <v>2486.62</v>
      </c>
      <c r="E492" s="719">
        <v>6104.55</v>
      </c>
      <c r="F492" s="718" t="s">
        <v>2229</v>
      </c>
      <c r="G492" s="718" t="s">
        <v>2283</v>
      </c>
      <c r="H492" s="719" t="s">
        <v>2971</v>
      </c>
      <c r="I492" s="720"/>
      <c r="J492" s="720"/>
      <c r="K492" s="720"/>
      <c r="L492" s="149" t="str">
        <f t="shared" si="35"/>
        <v>73E</v>
      </c>
      <c r="M492" s="150" t="str">
        <f t="shared" si="36"/>
        <v>REMISE CARTE CREDIT - SERV. BMW</v>
      </c>
      <c r="N492" s="151">
        <f>+IF(OR($Q492=Parametres!$G$2,$Q492=Parametres!$G$3),I492,C492)</f>
        <v>3617.93</v>
      </c>
      <c r="O492" s="151">
        <f>+IF(OR($Q492=Parametres!$G$2,$Q492=Parametres!$G$3),J492,D492)</f>
        <v>2486.62</v>
      </c>
      <c r="P492" s="151">
        <f>+IF(OR($Q492=Parametres!$G$2,$Q492=Parametres!$G$3),K492,E492)</f>
        <v>6104.55</v>
      </c>
      <c r="Q492" s="150" t="str">
        <f t="shared" si="37"/>
        <v>7-Dépenses</v>
      </c>
      <c r="R492" s="149" t="str">
        <f t="shared" si="38"/>
        <v>73</v>
      </c>
      <c r="S492" s="150" t="str">
        <f t="shared" si="39"/>
        <v>_</v>
      </c>
      <c r="T492" s="152" t="str">
        <f>+VLOOKUP($L492,Data_Validation!$A:$D,1,0)</f>
        <v>73E</v>
      </c>
      <c r="U492" s="152" t="str">
        <f>+VLOOKUP($L492,Data_Validation!$A:$D,3,0)</f>
        <v>Service</v>
      </c>
      <c r="V492" s="152" t="str">
        <f>+VLOOKUP($L492,Data_Validation!$A:$D,4,0)</f>
        <v>frais bancaires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1690</v>
      </c>
      <c r="B493" s="718" t="s">
        <v>891</v>
      </c>
      <c r="C493" s="720">
        <v>2894.32</v>
      </c>
      <c r="D493" s="720">
        <v>1989.28</v>
      </c>
      <c r="E493" s="720">
        <v>4883.6000000000004</v>
      </c>
      <c r="F493" s="718" t="s">
        <v>2229</v>
      </c>
      <c r="G493" s="718" t="s">
        <v>2283</v>
      </c>
      <c r="H493" s="666" t="s">
        <v>2971</v>
      </c>
      <c r="I493" s="665"/>
      <c r="J493" s="665"/>
      <c r="K493" s="665"/>
      <c r="L493" s="149" t="str">
        <f t="shared" si="35"/>
        <v>73G</v>
      </c>
      <c r="M493" s="150" t="str">
        <f t="shared" si="36"/>
        <v>REMISE CARTE CREDIT - PIECE BMW</v>
      </c>
      <c r="N493" s="151">
        <f>+IF(OR($Q493=Parametres!$G$2,$Q493=Parametres!$G$3),I493,C493)</f>
        <v>2894.32</v>
      </c>
      <c r="O493" s="151">
        <f>+IF(OR($Q493=Parametres!$G$2,$Q493=Parametres!$G$3),J493,D493)</f>
        <v>1989.28</v>
      </c>
      <c r="P493" s="151">
        <f>+IF(OR($Q493=Parametres!$G$2,$Q493=Parametres!$G$3),K493,E493)</f>
        <v>4883.6000000000004</v>
      </c>
      <c r="Q493" s="150" t="str">
        <f t="shared" si="37"/>
        <v>7-Dépenses</v>
      </c>
      <c r="R493" s="149" t="str">
        <f t="shared" si="38"/>
        <v>73</v>
      </c>
      <c r="S493" s="150" t="str">
        <f t="shared" si="39"/>
        <v>_</v>
      </c>
      <c r="T493" s="152" t="str">
        <f>+VLOOKUP($L493,Data_Validation!$A:$D,1,0)</f>
        <v>73G</v>
      </c>
      <c r="U493" s="152" t="str">
        <f>+VLOOKUP($L493,Data_Validation!$A:$D,3,0)</f>
        <v>pièces</v>
      </c>
      <c r="V493" s="152" t="str">
        <f>+VLOOKUP($L493,Data_Validation!$A:$D,4,0)</f>
        <v>frais bancaires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1771</v>
      </c>
      <c r="B494" s="718" t="s">
        <v>915</v>
      </c>
      <c r="C494" s="720">
        <v>8514.9</v>
      </c>
      <c r="D494" s="720">
        <v>2838.3</v>
      </c>
      <c r="E494" s="720">
        <v>11353.2</v>
      </c>
      <c r="F494" s="718" t="s">
        <v>2229</v>
      </c>
      <c r="G494" s="718" t="s">
        <v>2284</v>
      </c>
      <c r="H494" s="666" t="s">
        <v>2971</v>
      </c>
      <c r="I494" s="665"/>
      <c r="J494" s="665"/>
      <c r="K494" s="665"/>
      <c r="L494" s="149" t="str">
        <f t="shared" si="35"/>
        <v>74A</v>
      </c>
      <c r="M494" s="150" t="str">
        <f t="shared" si="36"/>
        <v>FRAIS LEGAUX &amp; CTB - NEUF BMW</v>
      </c>
      <c r="N494" s="151">
        <f>+IF(OR($Q494=Parametres!$G$2,$Q494=Parametres!$G$3),I494,C494)</f>
        <v>8514.9</v>
      </c>
      <c r="O494" s="151">
        <f>+IF(OR($Q494=Parametres!$G$2,$Q494=Parametres!$G$3),J494,D494)</f>
        <v>2838.3</v>
      </c>
      <c r="P494" s="151">
        <f>+IF(OR($Q494=Parametres!$G$2,$Q494=Parametres!$G$3),K494,E494)</f>
        <v>11353.2</v>
      </c>
      <c r="Q494" s="150" t="str">
        <f t="shared" si="37"/>
        <v>7-Dépenses</v>
      </c>
      <c r="R494" s="149" t="str">
        <f t="shared" si="38"/>
        <v>74</v>
      </c>
      <c r="S494" s="150" t="str">
        <f t="shared" si="39"/>
        <v>_</v>
      </c>
      <c r="T494" s="152" t="str">
        <f>+VLOOKUP($L494,Data_Validation!$A:$D,1,0)</f>
        <v>74A</v>
      </c>
      <c r="U494" s="152" t="str">
        <f>+VLOOKUP($L494,Data_Validation!$A:$D,3,0)</f>
        <v>Véhicules neufs</v>
      </c>
      <c r="V494" s="152" t="str">
        <f>+VLOOKUP($L494,Data_Validation!$A:$D,4,0)</f>
        <v>honoraires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1682</v>
      </c>
      <c r="B495" s="718" t="s">
        <v>853</v>
      </c>
      <c r="C495" s="720">
        <v>1892.19</v>
      </c>
      <c r="D495" s="720">
        <v>630.73</v>
      </c>
      <c r="E495" s="720">
        <v>2522.92</v>
      </c>
      <c r="F495" s="718" t="s">
        <v>2229</v>
      </c>
      <c r="G495" s="718" t="s">
        <v>2284</v>
      </c>
      <c r="H495" s="666" t="s">
        <v>2971</v>
      </c>
      <c r="I495" s="665"/>
      <c r="J495" s="665"/>
      <c r="K495" s="665"/>
      <c r="L495" s="149" t="str">
        <f t="shared" si="35"/>
        <v>74C</v>
      </c>
      <c r="M495" s="150" t="str">
        <f t="shared" si="36"/>
        <v>FRAIS LEGAUX &amp; CTB - USAGE BMW</v>
      </c>
      <c r="N495" s="151">
        <f>+IF(OR($Q495=Parametres!$G$2,$Q495=Parametres!$G$3),I495,C495)</f>
        <v>1892.19</v>
      </c>
      <c r="O495" s="151">
        <f>+IF(OR($Q495=Parametres!$G$2,$Q495=Parametres!$G$3),J495,D495)</f>
        <v>630.73</v>
      </c>
      <c r="P495" s="151">
        <f>+IF(OR($Q495=Parametres!$G$2,$Q495=Parametres!$G$3),K495,E495)</f>
        <v>2522.92</v>
      </c>
      <c r="Q495" s="150" t="str">
        <f t="shared" si="37"/>
        <v>7-Dépenses</v>
      </c>
      <c r="R495" s="149" t="str">
        <f t="shared" si="38"/>
        <v>74</v>
      </c>
      <c r="S495" s="150" t="str">
        <f t="shared" si="39"/>
        <v>_</v>
      </c>
      <c r="T495" s="152" t="str">
        <f>+VLOOKUP($L495,Data_Validation!$A:$D,1,0)</f>
        <v>74C</v>
      </c>
      <c r="U495" s="152" t="str">
        <f>+VLOOKUP($L495,Data_Validation!$A:$D,3,0)</f>
        <v>Véhicules usagés</v>
      </c>
      <c r="V495" s="152" t="str">
        <f>+VLOOKUP($L495,Data_Validation!$A:$D,4,0)</f>
        <v>honoraires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1726</v>
      </c>
      <c r="B496" s="718" t="s">
        <v>888</v>
      </c>
      <c r="C496" s="719">
        <v>4730.49</v>
      </c>
      <c r="D496" s="719">
        <v>1576.83</v>
      </c>
      <c r="E496" s="719">
        <v>6307.32</v>
      </c>
      <c r="F496" s="718" t="s">
        <v>2229</v>
      </c>
      <c r="G496" s="718" t="s">
        <v>2284</v>
      </c>
      <c r="H496" s="719" t="s">
        <v>2971</v>
      </c>
      <c r="I496" s="720"/>
      <c r="J496" s="720"/>
      <c r="K496" s="720"/>
      <c r="L496" s="149" t="str">
        <f t="shared" si="35"/>
        <v>74E</v>
      </c>
      <c r="M496" s="150" t="str">
        <f t="shared" si="36"/>
        <v>FRAIS LEGAUX &amp; CTB - SERV. BMW</v>
      </c>
      <c r="N496" s="151">
        <f>+IF(OR($Q496=Parametres!$G$2,$Q496=Parametres!$G$3),I496,C496)</f>
        <v>4730.49</v>
      </c>
      <c r="O496" s="504">
        <f>+IF(OR($Q496=Parametres!$G$2,$Q496=Parametres!$G$3),J496,D496)</f>
        <v>1576.83</v>
      </c>
      <c r="P496" s="151">
        <f>+IF(OR($Q496=Parametres!$G$2,$Q496=Parametres!$G$3),K496,E496)</f>
        <v>6307.32</v>
      </c>
      <c r="Q496" s="150" t="str">
        <f t="shared" si="37"/>
        <v>7-Dépenses</v>
      </c>
      <c r="R496" s="149" t="str">
        <f t="shared" si="38"/>
        <v>74</v>
      </c>
      <c r="S496" s="150" t="str">
        <f t="shared" si="39"/>
        <v>_</v>
      </c>
      <c r="T496" s="152" t="str">
        <f>+VLOOKUP($L496,Data_Validation!$A:$D,1,0)</f>
        <v>74E</v>
      </c>
      <c r="U496" s="152" t="str">
        <f>+VLOOKUP($L496,Data_Validation!$A:$D,3,0)</f>
        <v>Service</v>
      </c>
      <c r="V496" s="152" t="str">
        <f>+VLOOKUP($L496,Data_Validation!$A:$D,4,0)</f>
        <v>honoraires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1718</v>
      </c>
      <c r="B497" s="718" t="s">
        <v>882</v>
      </c>
      <c r="C497" s="720">
        <v>3784.41</v>
      </c>
      <c r="D497" s="720">
        <v>1261.47</v>
      </c>
      <c r="E497" s="720">
        <v>5045.88</v>
      </c>
      <c r="F497" s="718" t="s">
        <v>2229</v>
      </c>
      <c r="G497" s="718" t="s">
        <v>2284</v>
      </c>
      <c r="H497" s="607" t="s">
        <v>2971</v>
      </c>
      <c r="I497" s="608"/>
      <c r="J497" s="608"/>
      <c r="K497" s="608"/>
      <c r="L497" s="149" t="str">
        <f t="shared" si="35"/>
        <v>74G</v>
      </c>
      <c r="M497" s="150" t="str">
        <f t="shared" si="36"/>
        <v>FRAIS LEGAUX &amp; CTB - PIECE BMW</v>
      </c>
      <c r="N497" s="151">
        <f>+IF(OR($Q497=Parametres!$G$2,$Q497=Parametres!$G$3),I497,C497)</f>
        <v>3784.41</v>
      </c>
      <c r="O497" s="504">
        <f>+IF(OR($Q497=Parametres!$G$2,$Q497=Parametres!$G$3),J497,D497)</f>
        <v>1261.47</v>
      </c>
      <c r="P497" s="151">
        <f>+IF(OR($Q497=Parametres!$G$2,$Q497=Parametres!$G$3),K497,E497)</f>
        <v>5045.88</v>
      </c>
      <c r="Q497" s="150" t="str">
        <f t="shared" si="37"/>
        <v>7-Dépenses</v>
      </c>
      <c r="R497" s="149" t="str">
        <f t="shared" si="38"/>
        <v>74</v>
      </c>
      <c r="S497" s="150" t="str">
        <f t="shared" si="39"/>
        <v>_</v>
      </c>
      <c r="T497" s="152" t="str">
        <f>+VLOOKUP($L497,Data_Validation!$A:$D,1,0)</f>
        <v>74G</v>
      </c>
      <c r="U497" s="152" t="str">
        <f>+VLOOKUP($L497,Data_Validation!$A:$D,3,0)</f>
        <v>pièces</v>
      </c>
      <c r="V497" s="152" t="str">
        <f>+VLOOKUP($L497,Data_Validation!$A:$D,4,0)</f>
        <v>honoraires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1671</v>
      </c>
      <c r="B498" s="718" t="s">
        <v>834</v>
      </c>
      <c r="C498" s="720">
        <v>1418.68</v>
      </c>
      <c r="D498" s="720">
        <v>183.22</v>
      </c>
      <c r="E498" s="720">
        <v>1601.9</v>
      </c>
      <c r="F498" s="718" t="s">
        <v>2229</v>
      </c>
      <c r="G498" s="718" t="s">
        <v>2260</v>
      </c>
      <c r="H498" s="666" t="s">
        <v>2971</v>
      </c>
      <c r="I498" s="665"/>
      <c r="J498" s="665"/>
      <c r="K498" s="665"/>
      <c r="L498" s="149" t="str">
        <f t="shared" si="35"/>
        <v>75A</v>
      </c>
      <c r="M498" s="150" t="str">
        <f t="shared" si="36"/>
        <v>TELEPHONE - NEUF BMW</v>
      </c>
      <c r="N498" s="151">
        <f>+IF(OR($Q498=Parametres!$G$2,$Q498=Parametres!$G$3),I498,C498)</f>
        <v>1418.68</v>
      </c>
      <c r="O498" s="151">
        <f>+IF(OR($Q498=Parametres!$G$2,$Q498=Parametres!$G$3),J498,D498)</f>
        <v>183.22</v>
      </c>
      <c r="P498" s="151">
        <f>+IF(OR($Q498=Parametres!$G$2,$Q498=Parametres!$G$3),K498,E498)</f>
        <v>1601.9</v>
      </c>
      <c r="Q498" s="150" t="str">
        <f t="shared" si="37"/>
        <v>7-Dépenses</v>
      </c>
      <c r="R498" s="149" t="str">
        <f t="shared" si="38"/>
        <v>75</v>
      </c>
      <c r="S498" s="150" t="str">
        <f t="shared" si="39"/>
        <v>_</v>
      </c>
      <c r="T498" s="152" t="str">
        <f>+VLOOKUP($L498,Data_Validation!$A:$D,1,0)</f>
        <v>75A</v>
      </c>
      <c r="U498" s="152" t="str">
        <f>+VLOOKUP($L498,Data_Validation!$A:$D,3,0)</f>
        <v>Véhicules neufs</v>
      </c>
      <c r="V498" s="152" t="str">
        <f>+VLOOKUP($L498,Data_Validation!$A:$D,4,0)</f>
        <v>Téléphone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1627</v>
      </c>
      <c r="B499" s="718" t="s">
        <v>798</v>
      </c>
      <c r="C499" s="720">
        <v>379.18</v>
      </c>
      <c r="D499" s="720">
        <v>60.38</v>
      </c>
      <c r="E499" s="720">
        <v>439.56</v>
      </c>
      <c r="F499" s="718" t="s">
        <v>2229</v>
      </c>
      <c r="G499" s="718" t="s">
        <v>2260</v>
      </c>
      <c r="H499" s="607" t="s">
        <v>2971</v>
      </c>
      <c r="I499" s="608"/>
      <c r="J499" s="608"/>
      <c r="K499" s="608"/>
      <c r="L499" s="149" t="str">
        <f t="shared" si="35"/>
        <v>75C</v>
      </c>
      <c r="M499" s="150" t="str">
        <f t="shared" si="36"/>
        <v>TELEPHONE - USAGE BMW</v>
      </c>
      <c r="N499" s="151">
        <f>+IF(OR($Q499=Parametres!$G$2,$Q499=Parametres!$G$3),I499,C499)</f>
        <v>379.18</v>
      </c>
      <c r="O499" s="151">
        <f>+IF(OR($Q499=Parametres!$G$2,$Q499=Parametres!$G$3),J499,D499)</f>
        <v>60.38</v>
      </c>
      <c r="P499" s="151">
        <f>+IF(OR($Q499=Parametres!$G$2,$Q499=Parametres!$G$3),K499,E499)</f>
        <v>439.56</v>
      </c>
      <c r="Q499" s="150" t="str">
        <f t="shared" si="37"/>
        <v>7-Dépenses</v>
      </c>
      <c r="R499" s="149" t="str">
        <f t="shared" si="38"/>
        <v>75</v>
      </c>
      <c r="S499" s="150" t="str">
        <f t="shared" si="39"/>
        <v>_</v>
      </c>
      <c r="T499" s="152" t="str">
        <f>+VLOOKUP($L499,Data_Validation!$A:$D,1,0)</f>
        <v>75C</v>
      </c>
      <c r="U499" s="152" t="str">
        <f>+VLOOKUP($L499,Data_Validation!$A:$D,3,0)</f>
        <v>Véhicules usagés</v>
      </c>
      <c r="V499" s="152" t="str">
        <f>+VLOOKUP($L499,Data_Validation!$A:$D,4,0)</f>
        <v>Téléphone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1658</v>
      </c>
      <c r="B500" s="718" t="s">
        <v>821</v>
      </c>
      <c r="C500" s="720">
        <v>828.13</v>
      </c>
      <c r="D500" s="720">
        <v>114.1</v>
      </c>
      <c r="E500" s="720">
        <v>942.23</v>
      </c>
      <c r="F500" s="718" t="s">
        <v>2229</v>
      </c>
      <c r="G500" s="718" t="s">
        <v>2260</v>
      </c>
      <c r="H500" s="719" t="s">
        <v>2971</v>
      </c>
      <c r="I500" s="719"/>
      <c r="J500" s="719"/>
      <c r="K500" s="719"/>
      <c r="L500" s="149" t="str">
        <f t="shared" si="35"/>
        <v>75E</v>
      </c>
      <c r="M500" s="150" t="str">
        <f t="shared" si="36"/>
        <v>TELEPHONE - SERV. BMW</v>
      </c>
      <c r="N500" s="151">
        <f>+IF(OR($Q500=Parametres!$G$2,$Q500=Parametres!$G$3),I500,C500)</f>
        <v>828.13</v>
      </c>
      <c r="O500" s="151">
        <f>+IF(OR($Q500=Parametres!$G$2,$Q500=Parametres!$G$3),J500,D500)</f>
        <v>114.1</v>
      </c>
      <c r="P500" s="151">
        <f>+IF(OR($Q500=Parametres!$G$2,$Q500=Parametres!$G$3),K500,E500)</f>
        <v>942.23</v>
      </c>
      <c r="Q500" s="150" t="str">
        <f t="shared" si="37"/>
        <v>7-Dépenses</v>
      </c>
      <c r="R500" s="149" t="str">
        <f t="shared" si="38"/>
        <v>75</v>
      </c>
      <c r="S500" s="150" t="str">
        <f t="shared" si="39"/>
        <v>_</v>
      </c>
      <c r="T500" s="152" t="str">
        <f>+VLOOKUP($L500,Data_Validation!$A:$D,1,0)</f>
        <v>75E</v>
      </c>
      <c r="U500" s="152" t="str">
        <f>+VLOOKUP($L500,Data_Validation!$A:$D,3,0)</f>
        <v>Service</v>
      </c>
      <c r="V500" s="152" t="str">
        <f>+VLOOKUP($L500,Data_Validation!$A:$D,4,0)</f>
        <v>Téléphone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1648</v>
      </c>
      <c r="B501" s="718" t="s">
        <v>816</v>
      </c>
      <c r="C501" s="720">
        <v>686.5</v>
      </c>
      <c r="D501" s="720">
        <v>98.66</v>
      </c>
      <c r="E501" s="720">
        <v>785.16</v>
      </c>
      <c r="F501" s="718" t="s">
        <v>2229</v>
      </c>
      <c r="G501" s="718" t="s">
        <v>2260</v>
      </c>
      <c r="H501" s="719" t="s">
        <v>2971</v>
      </c>
      <c r="I501" s="719"/>
      <c r="J501" s="719"/>
      <c r="K501" s="719"/>
      <c r="L501" s="149" t="str">
        <f t="shared" si="35"/>
        <v>75G</v>
      </c>
      <c r="M501" s="150" t="str">
        <f t="shared" si="36"/>
        <v>TELEPHONE - PIECE BMW</v>
      </c>
      <c r="N501" s="151">
        <f>+IF(OR($Q501=Parametres!$G$2,$Q501=Parametres!$G$3),I501,C501)</f>
        <v>686.5</v>
      </c>
      <c r="O501" s="151">
        <f>+IF(OR($Q501=Parametres!$G$2,$Q501=Parametres!$G$3),J501,D501)</f>
        <v>98.66</v>
      </c>
      <c r="P501" s="151">
        <f>+IF(OR($Q501=Parametres!$G$2,$Q501=Parametres!$G$3),K501,E501)</f>
        <v>785.16</v>
      </c>
      <c r="Q501" s="150" t="str">
        <f t="shared" si="37"/>
        <v>7-Dépenses</v>
      </c>
      <c r="R501" s="149" t="str">
        <f t="shared" si="38"/>
        <v>75</v>
      </c>
      <c r="S501" s="150" t="str">
        <f t="shared" si="39"/>
        <v>_</v>
      </c>
      <c r="T501" s="152" t="str">
        <f>+VLOOKUP($L501,Data_Validation!$A:$D,1,0)</f>
        <v>75G</v>
      </c>
      <c r="U501" s="152" t="str">
        <f>+VLOOKUP($L501,Data_Validation!$A:$D,3,0)</f>
        <v>pièces</v>
      </c>
      <c r="V501" s="152" t="str">
        <f>+VLOOKUP($L501,Data_Validation!$A:$D,4,0)</f>
        <v>Téléphone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1145</v>
      </c>
      <c r="B502" s="718" t="s">
        <v>889</v>
      </c>
      <c r="C502" s="720">
        <v>1255.44</v>
      </c>
      <c r="D502" s="720">
        <v>548.25</v>
      </c>
      <c r="E502" s="720">
        <v>1803.69</v>
      </c>
      <c r="F502" s="718" t="s">
        <v>2229</v>
      </c>
      <c r="G502" s="718" t="s">
        <v>2271</v>
      </c>
      <c r="H502" s="607" t="s">
        <v>2971</v>
      </c>
      <c r="I502" s="609"/>
      <c r="J502" s="609"/>
      <c r="K502" s="609"/>
      <c r="L502" s="149" t="str">
        <f t="shared" si="35"/>
        <v>76A</v>
      </c>
      <c r="M502" s="150" t="str">
        <f t="shared" si="36"/>
        <v>FORMATION - NEUF BMW</v>
      </c>
      <c r="N502" s="151">
        <f>+IF(OR($Q502=Parametres!$G$2,$Q502=Parametres!$G$3),I502,C502)</f>
        <v>1255.44</v>
      </c>
      <c r="O502" s="151">
        <f>+IF(OR($Q502=Parametres!$G$2,$Q502=Parametres!$G$3),J502,D502)</f>
        <v>548.25</v>
      </c>
      <c r="P502" s="151">
        <f>+IF(OR($Q502=Parametres!$G$2,$Q502=Parametres!$G$3),K502,E502)</f>
        <v>1803.69</v>
      </c>
      <c r="Q502" s="150" t="str">
        <f t="shared" si="37"/>
        <v>7-Dépenses</v>
      </c>
      <c r="R502" s="149" t="str">
        <f t="shared" si="38"/>
        <v>76</v>
      </c>
      <c r="S502" s="150" t="str">
        <f t="shared" si="39"/>
        <v>_</v>
      </c>
      <c r="T502" s="152" t="str">
        <f>+VLOOKUP($L502,Data_Validation!$A:$D,1,0)</f>
        <v>76A</v>
      </c>
      <c r="U502" s="152" t="str">
        <f>+VLOOKUP($L502,Data_Validation!$A:$D,3,0)</f>
        <v>Véhicules neufs</v>
      </c>
      <c r="V502" s="152" t="str">
        <f>+VLOOKUP($L502,Data_Validation!$A:$D,4,0)</f>
        <v>Formation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1194</v>
      </c>
      <c r="B503" s="718" t="s">
        <v>833</v>
      </c>
      <c r="C503" s="720">
        <v>278.98</v>
      </c>
      <c r="D503" s="720">
        <v>121.83</v>
      </c>
      <c r="E503" s="720">
        <v>400.81</v>
      </c>
      <c r="F503" s="718" t="s">
        <v>2229</v>
      </c>
      <c r="G503" s="718" t="s">
        <v>2271</v>
      </c>
      <c r="H503" s="673" t="s">
        <v>2971</v>
      </c>
      <c r="I503" s="672"/>
      <c r="J503" s="672"/>
      <c r="K503" s="672"/>
      <c r="L503" s="149" t="str">
        <f t="shared" si="35"/>
        <v>76C</v>
      </c>
      <c r="M503" s="150" t="str">
        <f t="shared" si="36"/>
        <v>FORMATION - USAGE BMW</v>
      </c>
      <c r="N503" s="151">
        <f>+IF(OR($Q503=Parametres!$G$2,$Q503=Parametres!$G$3),I503,C503)</f>
        <v>278.98</v>
      </c>
      <c r="O503" s="151">
        <f>+IF(OR($Q503=Parametres!$G$2,$Q503=Parametres!$G$3),J503,D503)</f>
        <v>121.83</v>
      </c>
      <c r="P503" s="151">
        <f>+IF(OR($Q503=Parametres!$G$2,$Q503=Parametres!$G$3),K503,E503)</f>
        <v>400.81</v>
      </c>
      <c r="Q503" s="150" t="str">
        <f t="shared" si="37"/>
        <v>7-Dépenses</v>
      </c>
      <c r="R503" s="149" t="str">
        <f t="shared" si="38"/>
        <v>76</v>
      </c>
      <c r="S503" s="150" t="str">
        <f t="shared" si="39"/>
        <v>_</v>
      </c>
      <c r="T503" s="152" t="str">
        <f>+VLOOKUP($L503,Data_Validation!$A:$D,1,0)</f>
        <v>76C</v>
      </c>
      <c r="U503" s="152" t="str">
        <f>+VLOOKUP($L503,Data_Validation!$A:$D,3,0)</f>
        <v>Véhicules usagés</v>
      </c>
      <c r="V503" s="152" t="str">
        <f>+VLOOKUP($L503,Data_Validation!$A:$D,4,0)</f>
        <v>Formation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1172</v>
      </c>
      <c r="B504" s="718" t="s">
        <v>868</v>
      </c>
      <c r="C504" s="720">
        <v>7083.66</v>
      </c>
      <c r="D504" s="720">
        <v>1632.11</v>
      </c>
      <c r="E504" s="720">
        <v>8715.77</v>
      </c>
      <c r="F504" s="718" t="s">
        <v>2229</v>
      </c>
      <c r="G504" s="718" t="s">
        <v>2271</v>
      </c>
      <c r="H504" s="666" t="s">
        <v>2971</v>
      </c>
      <c r="I504" s="665"/>
      <c r="J504" s="665"/>
      <c r="K504" s="665"/>
      <c r="L504" s="149" t="str">
        <f t="shared" si="35"/>
        <v>76E</v>
      </c>
      <c r="M504" s="150" t="str">
        <f t="shared" si="36"/>
        <v>FORMATION - SERV. BMW</v>
      </c>
      <c r="N504" s="151">
        <f>+IF(OR($Q504=Parametres!$G$2,$Q504=Parametres!$G$3),I504,C504)</f>
        <v>7083.66</v>
      </c>
      <c r="O504" s="151">
        <f>+IF(OR($Q504=Parametres!$G$2,$Q504=Parametres!$G$3),J504,D504)</f>
        <v>1632.11</v>
      </c>
      <c r="P504" s="151">
        <f>+IF(OR($Q504=Parametres!$G$2,$Q504=Parametres!$G$3),K504,E504)</f>
        <v>8715.77</v>
      </c>
      <c r="Q504" s="150" t="str">
        <f t="shared" si="37"/>
        <v>7-Dépenses</v>
      </c>
      <c r="R504" s="149" t="str">
        <f t="shared" si="38"/>
        <v>76</v>
      </c>
      <c r="S504" s="150" t="str">
        <f t="shared" si="39"/>
        <v>_</v>
      </c>
      <c r="T504" s="152" t="str">
        <f>+VLOOKUP($L504,Data_Validation!$A:$D,1,0)</f>
        <v>76E</v>
      </c>
      <c r="U504" s="152" t="str">
        <f>+VLOOKUP($L504,Data_Validation!$A:$D,3,0)</f>
        <v>Service</v>
      </c>
      <c r="V504" s="152" t="str">
        <f>+VLOOKUP($L504,Data_Validation!$A:$D,4,0)</f>
        <v>Formation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1174</v>
      </c>
      <c r="B505" s="718" t="s">
        <v>856</v>
      </c>
      <c r="C505" s="720">
        <v>557.97</v>
      </c>
      <c r="D505" s="720">
        <v>243.68</v>
      </c>
      <c r="E505" s="720">
        <v>801.65</v>
      </c>
      <c r="F505" s="718" t="s">
        <v>2229</v>
      </c>
      <c r="G505" s="718" t="s">
        <v>2271</v>
      </c>
      <c r="H505" s="607" t="s">
        <v>2971</v>
      </c>
      <c r="I505" s="609"/>
      <c r="J505" s="609"/>
      <c r="K505" s="609"/>
      <c r="L505" s="149" t="str">
        <f t="shared" si="35"/>
        <v>76G</v>
      </c>
      <c r="M505" s="150" t="str">
        <f t="shared" si="36"/>
        <v>FORMATION - PIECE BMW</v>
      </c>
      <c r="N505" s="151">
        <f>+IF(OR($Q505=Parametres!$G$2,$Q505=Parametres!$G$3),I505,C505)</f>
        <v>557.97</v>
      </c>
      <c r="O505" s="151">
        <f>+IF(OR($Q505=Parametres!$G$2,$Q505=Parametres!$G$3),J505,D505)</f>
        <v>243.68</v>
      </c>
      <c r="P505" s="151">
        <f>+IF(OR($Q505=Parametres!$G$2,$Q505=Parametres!$G$3),K505,E505)</f>
        <v>801.65</v>
      </c>
      <c r="Q505" s="150" t="str">
        <f t="shared" si="37"/>
        <v>7-Dépenses</v>
      </c>
      <c r="R505" s="149" t="str">
        <f t="shared" si="38"/>
        <v>76</v>
      </c>
      <c r="S505" s="150" t="str">
        <f t="shared" si="39"/>
        <v>_</v>
      </c>
      <c r="T505" s="152" t="str">
        <f>+VLOOKUP($L505,Data_Validation!$A:$D,1,0)</f>
        <v>76G</v>
      </c>
      <c r="U505" s="152" t="str">
        <f>+VLOOKUP($L505,Data_Validation!$A:$D,3,0)</f>
        <v>pièces</v>
      </c>
      <c r="V505" s="152" t="str">
        <f>+VLOOKUP($L505,Data_Validation!$A:$D,4,0)</f>
        <v>Formation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1137</v>
      </c>
      <c r="B506" s="718" t="s">
        <v>869</v>
      </c>
      <c r="C506" s="720">
        <v>1583.3</v>
      </c>
      <c r="D506" s="720">
        <v>523.35</v>
      </c>
      <c r="E506" s="720">
        <v>2106.65</v>
      </c>
      <c r="F506" s="718" t="s">
        <v>2229</v>
      </c>
      <c r="G506" s="718" t="s">
        <v>2272</v>
      </c>
      <c r="H506" s="673" t="s">
        <v>2971</v>
      </c>
      <c r="I506" s="672"/>
      <c r="J506" s="672"/>
      <c r="K506" s="672"/>
      <c r="L506" s="149" t="str">
        <f t="shared" si="35"/>
        <v>77A</v>
      </c>
      <c r="M506" s="150" t="str">
        <f t="shared" si="36"/>
        <v>FRAIS DIVERS - NEUF BMW</v>
      </c>
      <c r="N506" s="151">
        <f>+IF(OR($Q506=Parametres!$G$2,$Q506=Parametres!$G$3),I506,C506)</f>
        <v>1583.3</v>
      </c>
      <c r="O506" s="151">
        <f>+IF(OR($Q506=Parametres!$G$2,$Q506=Parametres!$G$3),J506,D506)</f>
        <v>523.35</v>
      </c>
      <c r="P506" s="151">
        <f>+IF(OR($Q506=Parametres!$G$2,$Q506=Parametres!$G$3),K506,E506)</f>
        <v>2106.65</v>
      </c>
      <c r="Q506" s="150" t="str">
        <f t="shared" si="37"/>
        <v>7-Dépenses</v>
      </c>
      <c r="R506" s="149" t="str">
        <f t="shared" si="38"/>
        <v>77</v>
      </c>
      <c r="S506" s="150" t="str">
        <f t="shared" si="39"/>
        <v>_</v>
      </c>
      <c r="T506" s="152" t="str">
        <f>+VLOOKUP($L506,Data_Validation!$A:$D,1,0)</f>
        <v>77A</v>
      </c>
      <c r="U506" s="152" t="str">
        <f>+VLOOKUP($L506,Data_Validation!$A:$D,3,0)</f>
        <v>Véhicules neufs</v>
      </c>
      <c r="V506" s="152" t="str">
        <f>+VLOOKUP($L506,Data_Validation!$A:$D,4,0)</f>
        <v>divers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1177</v>
      </c>
      <c r="B507" s="718" t="s">
        <v>824</v>
      </c>
      <c r="C507" s="720">
        <v>351.85</v>
      </c>
      <c r="D507" s="720">
        <v>116.3</v>
      </c>
      <c r="E507" s="720">
        <v>468.15</v>
      </c>
      <c r="F507" s="718" t="s">
        <v>2229</v>
      </c>
      <c r="G507" s="718" t="s">
        <v>2272</v>
      </c>
      <c r="H507" s="673" t="s">
        <v>2971</v>
      </c>
      <c r="I507" s="673"/>
      <c r="J507" s="673"/>
      <c r="K507" s="673"/>
      <c r="L507" s="149" t="str">
        <f t="shared" si="35"/>
        <v>77C</v>
      </c>
      <c r="M507" s="150" t="str">
        <f t="shared" si="36"/>
        <v>FRAIS DIVERS - USAGE BMW</v>
      </c>
      <c r="N507" s="151">
        <f>+IF(OR($Q507=Parametres!$G$2,$Q507=Parametres!$G$3),I507,C507)</f>
        <v>351.85</v>
      </c>
      <c r="O507" s="151">
        <f>+IF(OR($Q507=Parametres!$G$2,$Q507=Parametres!$G$3),J507,D507)</f>
        <v>116.3</v>
      </c>
      <c r="P507" s="151">
        <f>+IF(OR($Q507=Parametres!$G$2,$Q507=Parametres!$G$3),K507,E507)</f>
        <v>468.15</v>
      </c>
      <c r="Q507" s="150" t="str">
        <f t="shared" si="37"/>
        <v>7-Dépenses</v>
      </c>
      <c r="R507" s="149" t="str">
        <f t="shared" si="38"/>
        <v>77</v>
      </c>
      <c r="S507" s="150" t="str">
        <f t="shared" si="39"/>
        <v>_</v>
      </c>
      <c r="T507" s="152" t="str">
        <f>+VLOOKUP($L507,Data_Validation!$A:$D,1,0)</f>
        <v>77C</v>
      </c>
      <c r="U507" s="152" t="str">
        <f>+VLOOKUP($L507,Data_Validation!$A:$D,3,0)</f>
        <v>Véhicules usagés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1152</v>
      </c>
      <c r="B508" s="718" t="s">
        <v>843</v>
      </c>
      <c r="C508" s="720">
        <v>879.61</v>
      </c>
      <c r="D508" s="720">
        <v>290.75</v>
      </c>
      <c r="E508" s="720">
        <v>1170.3599999999999</v>
      </c>
      <c r="F508" s="718" t="s">
        <v>2229</v>
      </c>
      <c r="G508" s="718" t="s">
        <v>2272</v>
      </c>
      <c r="H508" s="609" t="s">
        <v>2971</v>
      </c>
      <c r="I508" s="609"/>
      <c r="J508" s="609"/>
      <c r="K508" s="609"/>
      <c r="L508" s="149" t="str">
        <f t="shared" si="35"/>
        <v>77E</v>
      </c>
      <c r="M508" s="150" t="str">
        <f t="shared" si="36"/>
        <v>FRAIS DIVERS - SERV. BMW</v>
      </c>
      <c r="N508" s="151">
        <f>+IF(OR($Q508=Parametres!$G$2,$Q508=Parametres!$G$3),I508,C508)</f>
        <v>879.61</v>
      </c>
      <c r="O508" s="151">
        <f>+IF(OR($Q508=Parametres!$G$2,$Q508=Parametres!$G$3),J508,D508)</f>
        <v>290.75</v>
      </c>
      <c r="P508" s="151">
        <f>+IF(OR($Q508=Parametres!$G$2,$Q508=Parametres!$G$3),K508,E508)</f>
        <v>1170.3599999999999</v>
      </c>
      <c r="Q508" s="150" t="str">
        <f t="shared" si="37"/>
        <v>7-Dépenses</v>
      </c>
      <c r="R508" s="149" t="str">
        <f t="shared" si="38"/>
        <v>77</v>
      </c>
      <c r="S508" s="150" t="str">
        <f t="shared" si="39"/>
        <v>_</v>
      </c>
      <c r="T508" s="152" t="str">
        <f>+VLOOKUP($L508,Data_Validation!$A:$D,1,0)</f>
        <v>77E</v>
      </c>
      <c r="U508" s="152" t="str">
        <f>+VLOOKUP($L508,Data_Validation!$A:$D,3,0)</f>
        <v>Service</v>
      </c>
      <c r="V508" s="152" t="str">
        <f>+VLOOKUP($L508,Data_Validation!$A:$D,4,0)</f>
        <v>divers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1155</v>
      </c>
      <c r="B509" s="718" t="s">
        <v>847</v>
      </c>
      <c r="C509" s="720">
        <v>703.69</v>
      </c>
      <c r="D509" s="720">
        <v>232.6</v>
      </c>
      <c r="E509" s="720">
        <v>936.29</v>
      </c>
      <c r="F509" s="718" t="s">
        <v>2229</v>
      </c>
      <c r="G509" s="718" t="s">
        <v>2272</v>
      </c>
      <c r="H509" s="719" t="s">
        <v>2971</v>
      </c>
      <c r="I509" s="719"/>
      <c r="J509" s="719"/>
      <c r="K509" s="719"/>
      <c r="L509" s="149" t="str">
        <f t="shared" si="35"/>
        <v>77G</v>
      </c>
      <c r="M509" s="150" t="str">
        <f t="shared" si="36"/>
        <v>FRAIS DIVERS - PIECE BMW</v>
      </c>
      <c r="N509" s="151">
        <f>+IF(OR($Q509=Parametres!$G$2,$Q509=Parametres!$G$3),I509,C509)</f>
        <v>703.69</v>
      </c>
      <c r="O509" s="151">
        <f>+IF(OR($Q509=Parametres!$G$2,$Q509=Parametres!$G$3),J509,D509)</f>
        <v>232.6</v>
      </c>
      <c r="P509" s="151">
        <f>+IF(OR($Q509=Parametres!$G$2,$Q509=Parametres!$G$3),K509,E509)</f>
        <v>936.29</v>
      </c>
      <c r="Q509" s="150" t="str">
        <f t="shared" si="37"/>
        <v>7-Dépenses</v>
      </c>
      <c r="R509" s="149" t="str">
        <f t="shared" si="38"/>
        <v>77</v>
      </c>
      <c r="S509" s="150" t="str">
        <f t="shared" si="39"/>
        <v>_</v>
      </c>
      <c r="T509" s="152" t="str">
        <f>+VLOOKUP($L509,Data_Validation!$A:$D,1,0)</f>
        <v>77G</v>
      </c>
      <c r="U509" s="152" t="str">
        <f>+VLOOKUP($L509,Data_Validation!$A:$D,3,0)</f>
        <v>pièces</v>
      </c>
      <c r="V509" s="152" t="str">
        <f>+VLOOKUP($L509,Data_Validation!$A:$D,4,0)</f>
        <v>divers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1655</v>
      </c>
      <c r="B510" s="718" t="s">
        <v>818</v>
      </c>
      <c r="C510" s="720">
        <v>417.96</v>
      </c>
      <c r="D510" s="720">
        <v>222.71</v>
      </c>
      <c r="E510" s="720">
        <v>640.66999999999996</v>
      </c>
      <c r="F510" s="718" t="s">
        <v>2229</v>
      </c>
      <c r="G510" s="718" t="s">
        <v>2263</v>
      </c>
      <c r="H510" s="673" t="s">
        <v>2971</v>
      </c>
      <c r="I510" s="672"/>
      <c r="J510" s="672"/>
      <c r="K510" s="672"/>
      <c r="L510" s="149" t="str">
        <f t="shared" si="35"/>
        <v>78A</v>
      </c>
      <c r="M510" s="150" t="str">
        <f t="shared" si="36"/>
        <v>TRANSPORT - NEUF BMW</v>
      </c>
      <c r="N510" s="151">
        <f>+IF(OR($Q510=Parametres!$G$2,$Q510=Parametres!$G$3),I510,C510)</f>
        <v>417.96</v>
      </c>
      <c r="O510" s="151">
        <f>+IF(OR($Q510=Parametres!$G$2,$Q510=Parametres!$G$3),J510,D510)</f>
        <v>222.71</v>
      </c>
      <c r="P510" s="151">
        <f>+IF(OR($Q510=Parametres!$G$2,$Q510=Parametres!$G$3),K510,E510)</f>
        <v>640.66999999999996</v>
      </c>
      <c r="Q510" s="150" t="str">
        <f t="shared" si="37"/>
        <v>7-Dépenses</v>
      </c>
      <c r="R510" s="149" t="str">
        <f t="shared" si="38"/>
        <v>78</v>
      </c>
      <c r="S510" s="150" t="str">
        <f t="shared" si="39"/>
        <v>_</v>
      </c>
      <c r="T510" s="152" t="str">
        <f>+VLOOKUP($L510,Data_Validation!$A:$D,1,0)</f>
        <v>78A</v>
      </c>
      <c r="U510" s="152" t="str">
        <f>+VLOOKUP($L510,Data_Validation!$A:$D,3,0)</f>
        <v>Véhicules neufs</v>
      </c>
      <c r="V510" s="152" t="str">
        <f>+VLOOKUP($L510,Data_Validation!$A:$D,4,0)</f>
        <v>Frais postaux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1621</v>
      </c>
      <c r="B511" s="718" t="s">
        <v>782</v>
      </c>
      <c r="C511" s="720">
        <v>154.6</v>
      </c>
      <c r="D511" s="720">
        <v>49.5</v>
      </c>
      <c r="E511" s="720">
        <v>204.1</v>
      </c>
      <c r="F511" s="718" t="s">
        <v>2229</v>
      </c>
      <c r="G511" s="718" t="s">
        <v>2263</v>
      </c>
      <c r="H511" s="673" t="s">
        <v>2971</v>
      </c>
      <c r="I511" s="672"/>
      <c r="J511" s="672"/>
      <c r="K511" s="672"/>
      <c r="L511" s="149" t="str">
        <f t="shared" si="35"/>
        <v>78C</v>
      </c>
      <c r="M511" s="150" t="str">
        <f t="shared" si="36"/>
        <v>TRANSPORT - USAGE BMW</v>
      </c>
      <c r="N511" s="151">
        <f>+IF(OR($Q511=Parametres!$G$2,$Q511=Parametres!$G$3),I511,C511)</f>
        <v>154.6</v>
      </c>
      <c r="O511" s="151">
        <f>+IF(OR($Q511=Parametres!$G$2,$Q511=Parametres!$G$3),J511,D511)</f>
        <v>49.5</v>
      </c>
      <c r="P511" s="151">
        <f>+IF(OR($Q511=Parametres!$G$2,$Q511=Parametres!$G$3),K511,E511)</f>
        <v>204.1</v>
      </c>
      <c r="Q511" s="150" t="str">
        <f t="shared" si="37"/>
        <v>7-Dépenses</v>
      </c>
      <c r="R511" s="149" t="str">
        <f t="shared" si="38"/>
        <v>78</v>
      </c>
      <c r="S511" s="150" t="str">
        <f t="shared" si="39"/>
        <v>_</v>
      </c>
      <c r="T511" s="152" t="str">
        <f>+VLOOKUP($L511,Data_Validation!$A:$D,1,0)</f>
        <v>78C</v>
      </c>
      <c r="U511" s="152" t="str">
        <f>+VLOOKUP($L511,Data_Validation!$A:$D,3,0)</f>
        <v>Véhicules usagés</v>
      </c>
      <c r="V511" s="152" t="str">
        <f>+VLOOKUP($L511,Data_Validation!$A:$D,4,0)</f>
        <v>Frais postaux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1628</v>
      </c>
      <c r="B512" s="718" t="s">
        <v>806</v>
      </c>
      <c r="C512" s="720">
        <v>588.25</v>
      </c>
      <c r="D512" s="720">
        <v>170.36</v>
      </c>
      <c r="E512" s="720">
        <v>758.61</v>
      </c>
      <c r="F512" s="718" t="s">
        <v>2229</v>
      </c>
      <c r="G512" s="718" t="s">
        <v>2263</v>
      </c>
      <c r="H512" s="607" t="s">
        <v>2971</v>
      </c>
      <c r="I512" s="609"/>
      <c r="J512" s="609"/>
      <c r="K512" s="609"/>
      <c r="L512" s="149" t="str">
        <f t="shared" si="35"/>
        <v>78E</v>
      </c>
      <c r="M512" s="150" t="str">
        <f t="shared" si="36"/>
        <v>TRANSPORT - SERV. BMW</v>
      </c>
      <c r="N512" s="151">
        <f>+IF(OR($Q512=Parametres!$G$2,$Q512=Parametres!$G$3),I512,C512)</f>
        <v>588.25</v>
      </c>
      <c r="O512" s="151">
        <f>+IF(OR($Q512=Parametres!$G$2,$Q512=Parametres!$G$3),J512,D512)</f>
        <v>170.36</v>
      </c>
      <c r="P512" s="151">
        <f>+IF(OR($Q512=Parametres!$G$2,$Q512=Parametres!$G$3),K512,E512)</f>
        <v>758.61</v>
      </c>
      <c r="Q512" s="150" t="str">
        <f t="shared" si="37"/>
        <v>7-Dépenses</v>
      </c>
      <c r="R512" s="149" t="str">
        <f t="shared" si="38"/>
        <v>78</v>
      </c>
      <c r="S512" s="150" t="str">
        <f t="shared" si="39"/>
        <v>_</v>
      </c>
      <c r="T512" s="152" t="str">
        <f>+VLOOKUP($L512,Data_Validation!$A:$D,1,0)</f>
        <v>78E</v>
      </c>
      <c r="U512" s="152" t="str">
        <f>+VLOOKUP($L512,Data_Validation!$A:$D,3,0)</f>
        <v>Service</v>
      </c>
      <c r="V512" s="152" t="str">
        <f>+VLOOKUP($L512,Data_Validation!$A:$D,4,0)</f>
        <v>Frais postaux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1619</v>
      </c>
      <c r="B513" s="718" t="s">
        <v>788</v>
      </c>
      <c r="C513" s="720">
        <v>2906.56</v>
      </c>
      <c r="D513" s="720">
        <v>966.51</v>
      </c>
      <c r="E513" s="720">
        <v>3873.07</v>
      </c>
      <c r="F513" s="718" t="s">
        <v>2229</v>
      </c>
      <c r="G513" s="718" t="s">
        <v>2263</v>
      </c>
      <c r="H513" s="673" t="s">
        <v>2971</v>
      </c>
      <c r="I513" s="672"/>
      <c r="J513" s="672"/>
      <c r="K513" s="672"/>
      <c r="L513" s="149" t="str">
        <f t="shared" si="35"/>
        <v>78G</v>
      </c>
      <c r="M513" s="150" t="str">
        <f t="shared" si="36"/>
        <v>TRANSPORT - PIECE BMW</v>
      </c>
      <c r="N513" s="151">
        <f>+IF(OR($Q513=Parametres!$G$2,$Q513=Parametres!$G$3),I513,C513)</f>
        <v>2906.56</v>
      </c>
      <c r="O513" s="151">
        <f>+IF(OR($Q513=Parametres!$G$2,$Q513=Parametres!$G$3),J513,D513)</f>
        <v>966.51</v>
      </c>
      <c r="P513" s="151">
        <f>+IF(OR($Q513=Parametres!$G$2,$Q513=Parametres!$G$3),K513,E513)</f>
        <v>3873.07</v>
      </c>
      <c r="Q513" s="150" t="str">
        <f t="shared" si="37"/>
        <v>7-Dépenses</v>
      </c>
      <c r="R513" s="149" t="str">
        <f t="shared" si="38"/>
        <v>78</v>
      </c>
      <c r="S513" s="150" t="str">
        <f t="shared" si="39"/>
        <v>_</v>
      </c>
      <c r="T513" s="152" t="str">
        <f>+VLOOKUP($L513,Data_Validation!$A:$D,1,0)</f>
        <v>78G</v>
      </c>
      <c r="U513" s="152" t="str">
        <f>+VLOOKUP($L513,Data_Validation!$A:$D,3,0)</f>
        <v>pièces</v>
      </c>
      <c r="V513" s="152" t="str">
        <f>+VLOOKUP($L513,Data_Validation!$A:$D,4,0)</f>
        <v>Frais postaux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1830</v>
      </c>
      <c r="B514" s="718" t="s">
        <v>968</v>
      </c>
      <c r="C514" s="720">
        <v>67500</v>
      </c>
      <c r="D514" s="720">
        <v>22500</v>
      </c>
      <c r="E514" s="720">
        <v>90000</v>
      </c>
      <c r="F514" s="718" t="s">
        <v>2229</v>
      </c>
      <c r="G514" s="718" t="s">
        <v>2293</v>
      </c>
      <c r="H514" s="673" t="s">
        <v>2971</v>
      </c>
      <c r="I514" s="672"/>
      <c r="J514" s="672"/>
      <c r="K514" s="672"/>
      <c r="L514" s="149" t="str">
        <f t="shared" ref="L514:L577" si="40">+B514</f>
        <v>80A</v>
      </c>
      <c r="M514" s="150" t="str">
        <f t="shared" ref="M514:M577" si="41">+A514</f>
        <v>LOYER OU EQUIV. - NEUF BMW</v>
      </c>
      <c r="N514" s="151">
        <f>+IF(OR($Q514=Parametres!$G$2,$Q514=Parametres!$G$3),I514,C514)</f>
        <v>67500</v>
      </c>
      <c r="O514" s="151">
        <f>+IF(OR($Q514=Parametres!$G$2,$Q514=Parametres!$G$3),J514,D514)</f>
        <v>22500</v>
      </c>
      <c r="P514" s="151">
        <f>+IF(OR($Q514=Parametres!$G$2,$Q514=Parametres!$G$3),K514,E514)</f>
        <v>90000</v>
      </c>
      <c r="Q514" s="150" t="str">
        <f t="shared" ref="Q514:Q577" si="42">+F514</f>
        <v>7-Dépenses</v>
      </c>
      <c r="R514" s="149" t="str">
        <f t="shared" ref="R514:R577" si="43">+G514</f>
        <v>80</v>
      </c>
      <c r="S514" s="150" t="str">
        <f t="shared" ref="S514:S577" si="44">+H514</f>
        <v>_</v>
      </c>
      <c r="T514" s="152" t="str">
        <f>+VLOOKUP($L514,Data_Validation!$A:$D,1,0)</f>
        <v>80A</v>
      </c>
      <c r="U514" s="152" t="str">
        <f>+VLOOKUP($L514,Data_Validation!$A:$D,3,0)</f>
        <v>Véhicules neufs</v>
      </c>
      <c r="V514" s="152" t="str">
        <f>+VLOOKUP($L514,Data_Validation!$A:$D,4,0)</f>
        <v>loyer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1794</v>
      </c>
      <c r="B515" s="718" t="s">
        <v>928</v>
      </c>
      <c r="C515" s="720">
        <v>15000</v>
      </c>
      <c r="D515" s="720">
        <v>5000</v>
      </c>
      <c r="E515" s="720">
        <v>20000</v>
      </c>
      <c r="F515" s="718" t="s">
        <v>2229</v>
      </c>
      <c r="G515" s="718" t="s">
        <v>2293</v>
      </c>
      <c r="H515" s="666" t="s">
        <v>2971</v>
      </c>
      <c r="I515" s="665"/>
      <c r="J515" s="665"/>
      <c r="K515" s="665"/>
      <c r="L515" s="149" t="str">
        <f t="shared" si="40"/>
        <v>80C</v>
      </c>
      <c r="M515" s="150" t="str">
        <f t="shared" si="41"/>
        <v>LOYER OU EQUIV. - USAGE BMW</v>
      </c>
      <c r="N515" s="151">
        <f>+IF(OR($Q515=Parametres!$G$2,$Q515=Parametres!$G$3),I515,C515)</f>
        <v>15000</v>
      </c>
      <c r="O515" s="151">
        <f>+IF(OR($Q515=Parametres!$G$2,$Q515=Parametres!$G$3),J515,D515)</f>
        <v>5000</v>
      </c>
      <c r="P515" s="151">
        <f>+IF(OR($Q515=Parametres!$G$2,$Q515=Parametres!$G$3),K515,E515)</f>
        <v>20000</v>
      </c>
      <c r="Q515" s="150" t="str">
        <f t="shared" si="42"/>
        <v>7-Dépenses</v>
      </c>
      <c r="R515" s="149" t="str">
        <f t="shared" si="43"/>
        <v>80</v>
      </c>
      <c r="S515" s="150" t="str">
        <f t="shared" si="44"/>
        <v>_</v>
      </c>
      <c r="T515" s="152" t="str">
        <f>+VLOOKUP($L515,Data_Validation!$A:$D,1,0)</f>
        <v>80C</v>
      </c>
      <c r="U515" s="152" t="str">
        <f>+VLOOKUP($L515,Data_Validation!$A:$D,3,0)</f>
        <v>Véhicules usagés</v>
      </c>
      <c r="V515" s="152" t="str">
        <f>+VLOOKUP($L515,Data_Validation!$A:$D,4,0)</f>
        <v>loyer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1818</v>
      </c>
      <c r="B516" s="718" t="s">
        <v>958</v>
      </c>
      <c r="C516" s="720">
        <v>37500</v>
      </c>
      <c r="D516" s="720">
        <v>12500</v>
      </c>
      <c r="E516" s="720">
        <v>50000</v>
      </c>
      <c r="F516" s="718" t="s">
        <v>2229</v>
      </c>
      <c r="G516" s="718" t="s">
        <v>2293</v>
      </c>
      <c r="H516" s="666" t="s">
        <v>2971</v>
      </c>
      <c r="I516" s="665"/>
      <c r="J516" s="665"/>
      <c r="K516" s="665"/>
      <c r="L516" s="149" t="str">
        <f t="shared" si="40"/>
        <v>80E</v>
      </c>
      <c r="M516" s="150" t="str">
        <f t="shared" si="41"/>
        <v>LOYER OU EQUIV. - SERV. BMW</v>
      </c>
      <c r="N516" s="151">
        <f>+IF(OR($Q516=Parametres!$G$2,$Q516=Parametres!$G$3),I516,C516)</f>
        <v>37500</v>
      </c>
      <c r="O516" s="151">
        <f>+IF(OR($Q516=Parametres!$G$2,$Q516=Parametres!$G$3),J516,D516)</f>
        <v>12500</v>
      </c>
      <c r="P516" s="151">
        <f>+IF(OR($Q516=Parametres!$G$2,$Q516=Parametres!$G$3),K516,E516)</f>
        <v>50000</v>
      </c>
      <c r="Q516" s="150" t="str">
        <f t="shared" si="42"/>
        <v>7-Dépenses</v>
      </c>
      <c r="R516" s="149" t="str">
        <f t="shared" si="43"/>
        <v>80</v>
      </c>
      <c r="S516" s="150" t="str">
        <f t="shared" si="44"/>
        <v>_</v>
      </c>
      <c r="T516" s="152" t="str">
        <f>+VLOOKUP($L516,Data_Validation!$A:$D,1,0)</f>
        <v>80E</v>
      </c>
      <c r="U516" s="152" t="str">
        <f>+VLOOKUP($L516,Data_Validation!$A:$D,3,0)</f>
        <v>Service</v>
      </c>
      <c r="V516" s="152" t="str">
        <f>+VLOOKUP($L516,Data_Validation!$A:$D,4,0)</f>
        <v>loyer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1816</v>
      </c>
      <c r="B517" s="718" t="s">
        <v>953</v>
      </c>
      <c r="C517" s="720">
        <v>30000</v>
      </c>
      <c r="D517" s="720">
        <v>10000</v>
      </c>
      <c r="E517" s="720">
        <v>40000</v>
      </c>
      <c r="F517" s="718" t="s">
        <v>2229</v>
      </c>
      <c r="G517" s="718" t="s">
        <v>2293</v>
      </c>
      <c r="H517" s="673" t="s">
        <v>2971</v>
      </c>
      <c r="I517" s="673"/>
      <c r="J517" s="673"/>
      <c r="K517" s="673"/>
      <c r="L517" s="149" t="str">
        <f t="shared" si="40"/>
        <v>80G</v>
      </c>
      <c r="M517" s="150" t="str">
        <f t="shared" si="41"/>
        <v>LOYER OU EQUIV. - PIECES BMW</v>
      </c>
      <c r="N517" s="151">
        <f>+IF(OR($Q517=Parametres!$G$2,$Q517=Parametres!$G$3),I517,C517)</f>
        <v>30000</v>
      </c>
      <c r="O517" s="151">
        <f>+IF(OR($Q517=Parametres!$G$2,$Q517=Parametres!$G$3),J517,D517)</f>
        <v>10000</v>
      </c>
      <c r="P517" s="151">
        <f>+IF(OR($Q517=Parametres!$G$2,$Q517=Parametres!$G$3),K517,E517)</f>
        <v>40000</v>
      </c>
      <c r="Q517" s="150" t="str">
        <f t="shared" si="42"/>
        <v>7-Dépenses</v>
      </c>
      <c r="R517" s="149" t="str">
        <f t="shared" si="43"/>
        <v>80</v>
      </c>
      <c r="S517" s="150" t="str">
        <f t="shared" si="44"/>
        <v>_</v>
      </c>
      <c r="T517" s="152" t="str">
        <f>+VLOOKUP($L517,Data_Validation!$A:$D,1,0)</f>
        <v>80G</v>
      </c>
      <c r="U517" s="152" t="str">
        <f>+VLOOKUP($L517,Data_Validation!$A:$D,3,0)</f>
        <v>pièces</v>
      </c>
      <c r="V517" s="152" t="str">
        <f>+VLOOKUP($L517,Data_Validation!$A:$D,4,0)</f>
        <v>loyer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1776</v>
      </c>
      <c r="B518" s="718" t="s">
        <v>1777</v>
      </c>
      <c r="C518" s="720">
        <v>14512.5</v>
      </c>
      <c r="D518" s="720">
        <v>4837.5</v>
      </c>
      <c r="E518" s="720">
        <v>19350</v>
      </c>
      <c r="F518" s="718" t="s">
        <v>2229</v>
      </c>
      <c r="G518" s="718" t="s">
        <v>2286</v>
      </c>
      <c r="H518" s="666" t="s">
        <v>2971</v>
      </c>
      <c r="I518" s="665"/>
      <c r="J518" s="665"/>
      <c r="K518" s="665"/>
      <c r="L518" s="149" t="str">
        <f t="shared" si="40"/>
        <v>81A</v>
      </c>
      <c r="M518" s="150" t="str">
        <f t="shared" si="41"/>
        <v>AMORT. AMEL. LOC. - NEUF BMW</v>
      </c>
      <c r="N518" s="151">
        <f>+IF(OR($Q518=Parametres!$G$2,$Q518=Parametres!$G$3),I518,C518)</f>
        <v>14512.5</v>
      </c>
      <c r="O518" s="151">
        <f>+IF(OR($Q518=Parametres!$G$2,$Q518=Parametres!$G$3),J518,D518)</f>
        <v>4837.5</v>
      </c>
      <c r="P518" s="151">
        <f>+IF(OR($Q518=Parametres!$G$2,$Q518=Parametres!$G$3),K518,E518)</f>
        <v>19350</v>
      </c>
      <c r="Q518" s="150" t="str">
        <f t="shared" si="42"/>
        <v>7-Dépenses</v>
      </c>
      <c r="R518" s="149" t="str">
        <f t="shared" si="43"/>
        <v>81</v>
      </c>
      <c r="S518" s="150" t="str">
        <f t="shared" si="44"/>
        <v>_</v>
      </c>
      <c r="T518" s="152" t="str">
        <f>+VLOOKUP($L518,Data_Validation!$A:$D,1,0)</f>
        <v>81A</v>
      </c>
      <c r="U518" s="152" t="str">
        <f>+VLOOKUP($L518,Data_Validation!$A:$D,3,0)</f>
        <v>Véhicules neufs</v>
      </c>
      <c r="V518" s="152" t="str">
        <f>+VLOOKUP($L518,Data_Validation!$A:$D,4,0)</f>
        <v>Amortissement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1694</v>
      </c>
      <c r="B519" s="718" t="s">
        <v>1695</v>
      </c>
      <c r="C519" s="720">
        <v>3225</v>
      </c>
      <c r="D519" s="720">
        <v>1075</v>
      </c>
      <c r="E519" s="720">
        <v>4300</v>
      </c>
      <c r="F519" s="718" t="s">
        <v>2229</v>
      </c>
      <c r="G519" s="718" t="s">
        <v>2286</v>
      </c>
      <c r="H519" s="673" t="s">
        <v>2971</v>
      </c>
      <c r="I519" s="672"/>
      <c r="J519" s="672"/>
      <c r="K519" s="672"/>
      <c r="L519" s="149" t="str">
        <f t="shared" si="40"/>
        <v>81C</v>
      </c>
      <c r="M519" s="150" t="str">
        <f t="shared" si="41"/>
        <v>AMORT. AMEL. LOC. - USAGE BMW</v>
      </c>
      <c r="N519" s="151">
        <f>+IF(OR($Q519=Parametres!$G$2,$Q519=Parametres!$G$3),I519,C519)</f>
        <v>3225</v>
      </c>
      <c r="O519" s="151">
        <f>+IF(OR($Q519=Parametres!$G$2,$Q519=Parametres!$G$3),J519,D519)</f>
        <v>1075</v>
      </c>
      <c r="P519" s="151">
        <f>+IF(OR($Q519=Parametres!$G$2,$Q519=Parametres!$G$3),K519,E519)</f>
        <v>4300</v>
      </c>
      <c r="Q519" s="150" t="str">
        <f t="shared" si="42"/>
        <v>7-Dépenses</v>
      </c>
      <c r="R519" s="149" t="str">
        <f t="shared" si="43"/>
        <v>81</v>
      </c>
      <c r="S519" s="150" t="str">
        <f t="shared" si="44"/>
        <v>_</v>
      </c>
      <c r="T519" s="152" t="str">
        <f>+VLOOKUP($L519,Data_Validation!$A:$D,1,0)</f>
        <v>81C</v>
      </c>
      <c r="U519" s="152" t="str">
        <f>+VLOOKUP($L519,Data_Validation!$A:$D,3,0)</f>
        <v>Véhicules usagés</v>
      </c>
      <c r="V519" s="152" t="str">
        <f>+VLOOKUP($L519,Data_Validation!$A:$D,4,0)</f>
        <v>Amortissement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1736</v>
      </c>
      <c r="B520" s="718" t="s">
        <v>1737</v>
      </c>
      <c r="C520" s="720">
        <v>8062.5</v>
      </c>
      <c r="D520" s="720">
        <v>2687.5</v>
      </c>
      <c r="E520" s="720">
        <v>10750</v>
      </c>
      <c r="F520" s="718" t="s">
        <v>2229</v>
      </c>
      <c r="G520" s="718" t="s">
        <v>2286</v>
      </c>
      <c r="H520" s="673" t="s">
        <v>2971</v>
      </c>
      <c r="I520" s="672"/>
      <c r="J520" s="672"/>
      <c r="K520" s="672"/>
      <c r="L520" s="149" t="str">
        <f t="shared" si="40"/>
        <v>81E</v>
      </c>
      <c r="M520" s="150" t="str">
        <f t="shared" si="41"/>
        <v>AMORT. AMEL. LOC. - SERV. BMW</v>
      </c>
      <c r="N520" s="151">
        <f>+IF(OR($Q520=Parametres!$G$2,$Q520=Parametres!$G$3),I520,C520)</f>
        <v>8062.5</v>
      </c>
      <c r="O520" s="151">
        <f>+IF(OR($Q520=Parametres!$G$2,$Q520=Parametres!$G$3),J520,D520)</f>
        <v>2687.5</v>
      </c>
      <c r="P520" s="151">
        <f>+IF(OR($Q520=Parametres!$G$2,$Q520=Parametres!$G$3),K520,E520)</f>
        <v>10750</v>
      </c>
      <c r="Q520" s="150" t="str">
        <f t="shared" si="42"/>
        <v>7-Dépenses</v>
      </c>
      <c r="R520" s="149" t="str">
        <f t="shared" si="43"/>
        <v>81</v>
      </c>
      <c r="S520" s="150" t="str">
        <f t="shared" si="44"/>
        <v>_</v>
      </c>
      <c r="T520" s="152" t="str">
        <f>+VLOOKUP($L520,Data_Validation!$A:$D,1,0)</f>
        <v>81E</v>
      </c>
      <c r="U520" s="152" t="str">
        <f>+VLOOKUP($L520,Data_Validation!$A:$D,3,0)</f>
        <v>Service</v>
      </c>
      <c r="V520" s="152" t="str">
        <f>+VLOOKUP($L520,Data_Validation!$A:$D,4,0)</f>
        <v>Amortissement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1731</v>
      </c>
      <c r="B521" s="718" t="s">
        <v>1732</v>
      </c>
      <c r="C521" s="720">
        <v>6450</v>
      </c>
      <c r="D521" s="720">
        <v>2150</v>
      </c>
      <c r="E521" s="720">
        <v>8600</v>
      </c>
      <c r="F521" s="718" t="s">
        <v>2229</v>
      </c>
      <c r="G521" s="718" t="s">
        <v>2286</v>
      </c>
      <c r="H521" s="607" t="s">
        <v>2971</v>
      </c>
      <c r="I521" s="153"/>
      <c r="J521" s="153"/>
      <c r="K521" s="153"/>
      <c r="L521" s="149" t="str">
        <f t="shared" si="40"/>
        <v>81G</v>
      </c>
      <c r="M521" s="150" t="str">
        <f t="shared" si="41"/>
        <v>AMORT. AMEL. LOC. - PIECE BMW</v>
      </c>
      <c r="N521" s="151">
        <f>+IF(OR($Q521=Parametres!$G$2,$Q521=Parametres!$G$3),I521,C521)</f>
        <v>6450</v>
      </c>
      <c r="O521" s="151">
        <f>+IF(OR($Q521=Parametres!$G$2,$Q521=Parametres!$G$3),J521,D521)</f>
        <v>2150</v>
      </c>
      <c r="P521" s="151">
        <f>+IF(OR($Q521=Parametres!$G$2,$Q521=Parametres!$G$3),K521,E521)</f>
        <v>8600</v>
      </c>
      <c r="Q521" s="150" t="str">
        <f t="shared" si="42"/>
        <v>7-Dépenses</v>
      </c>
      <c r="R521" s="149" t="str">
        <f t="shared" si="43"/>
        <v>81</v>
      </c>
      <c r="S521" s="150" t="str">
        <f t="shared" si="44"/>
        <v>_</v>
      </c>
      <c r="T521" s="152" t="str">
        <f>+VLOOKUP($L521,Data_Validation!$A:$D,1,0)</f>
        <v>81G</v>
      </c>
      <c r="U521" s="152" t="str">
        <f>+VLOOKUP($L521,Data_Validation!$A:$D,3,0)</f>
        <v>pièces</v>
      </c>
      <c r="V521" s="152" t="str">
        <f>+VLOOKUP($L521,Data_Validation!$A:$D,4,0)</f>
        <v>Amortissement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1773</v>
      </c>
      <c r="B522" s="718" t="s">
        <v>901</v>
      </c>
      <c r="C522" s="720">
        <v>8320.74</v>
      </c>
      <c r="D522" s="720">
        <v>2773.58</v>
      </c>
      <c r="E522" s="720">
        <v>11094.32</v>
      </c>
      <c r="F522" s="718" t="s">
        <v>2229</v>
      </c>
      <c r="G522" s="718" t="s">
        <v>2281</v>
      </c>
      <c r="H522" s="607" t="s">
        <v>2971</v>
      </c>
      <c r="I522" s="609"/>
      <c r="J522" s="609"/>
      <c r="K522" s="609"/>
      <c r="L522" s="149" t="str">
        <f t="shared" si="40"/>
        <v>84A</v>
      </c>
      <c r="M522" s="150" t="str">
        <f t="shared" si="41"/>
        <v>TAXES BATISSE - NEUF BMW</v>
      </c>
      <c r="N522" s="151">
        <f>+IF(OR($Q522=Parametres!$G$2,$Q522=Parametres!$G$3),I522,C522)</f>
        <v>8320.74</v>
      </c>
      <c r="O522" s="504">
        <f>+IF(OR($Q522=Parametres!$G$2,$Q522=Parametres!$G$3),J522,D522)</f>
        <v>2773.58</v>
      </c>
      <c r="P522" s="151">
        <f>+IF(OR($Q522=Parametres!$G$2,$Q522=Parametres!$G$3),K522,E522)</f>
        <v>11094.32</v>
      </c>
      <c r="Q522" s="150" t="str">
        <f t="shared" si="42"/>
        <v>7-Dépenses</v>
      </c>
      <c r="R522" s="149" t="str">
        <f t="shared" si="43"/>
        <v>84</v>
      </c>
      <c r="S522" s="150" t="str">
        <f t="shared" si="44"/>
        <v>_</v>
      </c>
      <c r="T522" s="152" t="str">
        <f>+VLOOKUP($L522,Data_Validation!$A:$D,1,0)</f>
        <v>84A</v>
      </c>
      <c r="U522" s="152" t="str">
        <f>+VLOOKUP($L522,Data_Validation!$A:$D,3,0)</f>
        <v>Véhicules neufs</v>
      </c>
      <c r="V522" s="152" t="str">
        <f>+VLOOKUP($L522,Data_Validation!$A:$D,4,0)</f>
        <v>Taxes foncières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1686</v>
      </c>
      <c r="B523" s="718" t="s">
        <v>840</v>
      </c>
      <c r="C523" s="720">
        <v>1849.05</v>
      </c>
      <c r="D523" s="720">
        <v>616.35</v>
      </c>
      <c r="E523" s="720">
        <v>2465.4</v>
      </c>
      <c r="F523" s="718" t="s">
        <v>2229</v>
      </c>
      <c r="G523" s="718" t="s">
        <v>2281</v>
      </c>
      <c r="H523" s="609" t="s">
        <v>2971</v>
      </c>
      <c r="I523" s="608"/>
      <c r="J523" s="608"/>
      <c r="K523" s="608"/>
      <c r="L523" s="149" t="str">
        <f t="shared" si="40"/>
        <v>84C</v>
      </c>
      <c r="M523" s="150" t="str">
        <f t="shared" si="41"/>
        <v>TAXES BATISSE - USAGE BMW</v>
      </c>
      <c r="N523" s="151">
        <f>+IF(OR($Q523=Parametres!$G$2,$Q523=Parametres!$G$3),I523,C523)</f>
        <v>1849.05</v>
      </c>
      <c r="O523" s="504">
        <f>+IF(OR($Q523=Parametres!$G$2,$Q523=Parametres!$G$3),J523,D523)</f>
        <v>616.35</v>
      </c>
      <c r="P523" s="151">
        <f>+IF(OR($Q523=Parametres!$G$2,$Q523=Parametres!$G$3),K523,E523)</f>
        <v>2465.4</v>
      </c>
      <c r="Q523" s="150" t="str">
        <f t="shared" si="42"/>
        <v>7-Dépenses</v>
      </c>
      <c r="R523" s="149" t="str">
        <f t="shared" si="43"/>
        <v>84</v>
      </c>
      <c r="S523" s="150" t="str">
        <f t="shared" si="44"/>
        <v>_</v>
      </c>
      <c r="T523" s="152" t="str">
        <f>+VLOOKUP($L523,Data_Validation!$A:$D,1,0)</f>
        <v>84C</v>
      </c>
      <c r="U523" s="152" t="str">
        <f>+VLOOKUP($L523,Data_Validation!$A:$D,3,0)</f>
        <v>Véhicules usagés</v>
      </c>
      <c r="V523" s="152" t="str">
        <f>+VLOOKUP($L523,Data_Validation!$A:$D,4,0)</f>
        <v>Taxes foncières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1729</v>
      </c>
      <c r="B524" s="718" t="s">
        <v>872</v>
      </c>
      <c r="C524" s="719">
        <v>4622.6400000000003</v>
      </c>
      <c r="D524" s="719">
        <v>1540.88</v>
      </c>
      <c r="E524" s="719">
        <v>6163.52</v>
      </c>
      <c r="F524" s="718" t="s">
        <v>2229</v>
      </c>
      <c r="G524" s="718" t="s">
        <v>2281</v>
      </c>
      <c r="H524" s="719" t="s">
        <v>2971</v>
      </c>
      <c r="I524" s="720"/>
      <c r="J524" s="720"/>
      <c r="K524" s="720"/>
      <c r="L524" s="149" t="str">
        <f t="shared" si="40"/>
        <v>84E</v>
      </c>
      <c r="M524" s="150" t="str">
        <f t="shared" si="41"/>
        <v>TAXES BATISSE - SERV. BMW</v>
      </c>
      <c r="N524" s="151">
        <f>+IF(OR($Q524=Parametres!$G$2,$Q524=Parametres!$G$3),I524,C524)</f>
        <v>4622.6400000000003</v>
      </c>
      <c r="O524" s="151">
        <f>+IF(OR($Q524=Parametres!$G$2,$Q524=Parametres!$G$3),J524,D524)</f>
        <v>1540.88</v>
      </c>
      <c r="P524" s="151">
        <f>+IF(OR($Q524=Parametres!$G$2,$Q524=Parametres!$G$3),K524,E524)</f>
        <v>6163.52</v>
      </c>
      <c r="Q524" s="150" t="str">
        <f t="shared" si="42"/>
        <v>7-Dépenses</v>
      </c>
      <c r="R524" s="149" t="str">
        <f t="shared" si="43"/>
        <v>84</v>
      </c>
      <c r="S524" s="150" t="str">
        <f t="shared" si="44"/>
        <v>_</v>
      </c>
      <c r="T524" s="152" t="str">
        <f>+VLOOKUP($L524,Data_Validation!$A:$E,1,0)</f>
        <v>84E</v>
      </c>
      <c r="U524" s="152" t="str">
        <f>+VLOOKUP($L524,Data_Validation!$A:$E,3,0)</f>
        <v>Service</v>
      </c>
      <c r="V524" s="152" t="str">
        <f>+VLOOKUP($L524,Data_Validation!$A:$E,4,0)</f>
        <v>Taxes foncières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1720</v>
      </c>
      <c r="B525" s="718" t="s">
        <v>867</v>
      </c>
      <c r="C525" s="720">
        <v>3698.07</v>
      </c>
      <c r="D525" s="720">
        <v>1232.69</v>
      </c>
      <c r="E525" s="720">
        <v>4930.76</v>
      </c>
      <c r="F525" s="718" t="s">
        <v>2229</v>
      </c>
      <c r="G525" s="718" t="s">
        <v>2281</v>
      </c>
      <c r="H525" s="607" t="s">
        <v>2971</v>
      </c>
      <c r="I525" s="153"/>
      <c r="J525" s="153"/>
      <c r="K525" s="153"/>
      <c r="L525" s="149" t="str">
        <f t="shared" si="40"/>
        <v>84G</v>
      </c>
      <c r="M525" s="150" t="str">
        <f t="shared" si="41"/>
        <v>TAXES BATISSE - PIECE BMW</v>
      </c>
      <c r="N525" s="151">
        <f>+IF(OR($Q525=Parametres!$G$2,$Q525=Parametres!$G$3),I525,C525)</f>
        <v>3698.07</v>
      </c>
      <c r="O525" s="151">
        <f>+IF(OR($Q525=Parametres!$G$2,$Q525=Parametres!$G$3),J525,D525)</f>
        <v>1232.69</v>
      </c>
      <c r="P525" s="151">
        <f>+IF(OR($Q525=Parametres!$G$2,$Q525=Parametres!$G$3),K525,E525)</f>
        <v>4930.76</v>
      </c>
      <c r="Q525" s="150" t="str">
        <f t="shared" si="42"/>
        <v>7-Dépenses</v>
      </c>
      <c r="R525" s="149" t="str">
        <f t="shared" si="43"/>
        <v>84</v>
      </c>
      <c r="S525" s="150" t="str">
        <f t="shared" si="44"/>
        <v>_</v>
      </c>
      <c r="T525" s="152" t="str">
        <f>+VLOOKUP($L525,Data_Validation!$A:$D,1,0)</f>
        <v>84G</v>
      </c>
      <c r="U525" s="152" t="str">
        <f>+VLOOKUP($L525,Data_Validation!$A:$D,3,0)</f>
        <v>pièces</v>
      </c>
      <c r="V525" s="152" t="str">
        <f>+VLOOKUP($L525,Data_Validation!$A:$D,4,0)</f>
        <v>Taxes foncières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1717</v>
      </c>
      <c r="B526" s="718" t="s">
        <v>879</v>
      </c>
      <c r="C526" s="720">
        <v>6552.66</v>
      </c>
      <c r="D526" s="720">
        <v>2184.2199999999998</v>
      </c>
      <c r="E526" s="720">
        <v>8736.8799999999992</v>
      </c>
      <c r="F526" s="718" t="s">
        <v>2229</v>
      </c>
      <c r="G526" s="718" t="s">
        <v>2276</v>
      </c>
      <c r="H526" s="609" t="s">
        <v>2971</v>
      </c>
      <c r="I526" s="608"/>
      <c r="J526" s="608"/>
      <c r="K526" s="608"/>
      <c r="L526" s="149" t="str">
        <f t="shared" si="40"/>
        <v>85A</v>
      </c>
      <c r="M526" s="150" t="str">
        <f t="shared" si="41"/>
        <v>ASS. BATISSE - NEUF BMW</v>
      </c>
      <c r="N526" s="151">
        <f>+IF(OR($Q526=Parametres!$G$2,$Q526=Parametres!$G$3),I526,C526)</f>
        <v>6552.66</v>
      </c>
      <c r="O526" s="151">
        <f>+IF(OR($Q526=Parametres!$G$2,$Q526=Parametres!$G$3),J526,D526)</f>
        <v>2184.2199999999998</v>
      </c>
      <c r="P526" s="151">
        <f>+IF(OR($Q526=Parametres!$G$2,$Q526=Parametres!$G$3),K526,E526)</f>
        <v>8736.8799999999992</v>
      </c>
      <c r="Q526" s="150" t="str">
        <f t="shared" si="42"/>
        <v>7-Dépenses</v>
      </c>
      <c r="R526" s="149" t="str">
        <f t="shared" si="43"/>
        <v>85</v>
      </c>
      <c r="S526" s="150" t="str">
        <f t="shared" si="44"/>
        <v>_</v>
      </c>
      <c r="T526" s="152" t="str">
        <f>+VLOOKUP($L526,Data_Validation!$A:$D,1,0)</f>
        <v>85A</v>
      </c>
      <c r="U526" s="152" t="str">
        <f>+VLOOKUP($L526,Data_Validation!$A:$D,3,0)</f>
        <v>Véhicules neufs</v>
      </c>
      <c r="V526" s="152" t="str">
        <f>+VLOOKUP($L526,Data_Validation!$A:$D,4,0)</f>
        <v>assurances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1659</v>
      </c>
      <c r="B527" s="718" t="s">
        <v>828</v>
      </c>
      <c r="C527" s="720">
        <v>1456.14</v>
      </c>
      <c r="D527" s="720">
        <v>485.38</v>
      </c>
      <c r="E527" s="720">
        <v>1941.52</v>
      </c>
      <c r="F527" s="718" t="s">
        <v>2229</v>
      </c>
      <c r="G527" s="718" t="s">
        <v>2276</v>
      </c>
      <c r="H527" s="609" t="s">
        <v>2971</v>
      </c>
      <c r="I527" s="608"/>
      <c r="J527" s="608"/>
      <c r="K527" s="608"/>
      <c r="L527" s="149" t="str">
        <f t="shared" si="40"/>
        <v>85C</v>
      </c>
      <c r="M527" s="150" t="str">
        <f t="shared" si="41"/>
        <v>ASS. BATISSE - USAGE BMW</v>
      </c>
      <c r="N527" s="151">
        <f>+IF(OR($Q527=Parametres!$G$2,$Q527=Parametres!$G$3),I527,C527)</f>
        <v>1456.14</v>
      </c>
      <c r="O527" s="151">
        <f>+IF(OR($Q527=Parametres!$G$2,$Q527=Parametres!$G$3),J527,D527)</f>
        <v>485.38</v>
      </c>
      <c r="P527" s="151">
        <f>+IF(OR($Q527=Parametres!$G$2,$Q527=Parametres!$G$3),K527,E527)</f>
        <v>1941.52</v>
      </c>
      <c r="Q527" s="150" t="str">
        <f t="shared" si="42"/>
        <v>7-Dépenses</v>
      </c>
      <c r="R527" s="149" t="str">
        <f t="shared" si="43"/>
        <v>85</v>
      </c>
      <c r="S527" s="150" t="str">
        <f t="shared" si="44"/>
        <v>_</v>
      </c>
      <c r="T527" s="152" t="str">
        <f>+VLOOKUP($L527,Data_Validation!$A:$D,1,0)</f>
        <v>85C</v>
      </c>
      <c r="U527" s="152" t="str">
        <f>+VLOOKUP($L527,Data_Validation!$A:$D,3,0)</f>
        <v>Véhicules usagés</v>
      </c>
      <c r="V527" s="152" t="str">
        <f>+VLOOKUP($L527,Data_Validation!$A:$D,4,0)</f>
        <v>assurances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1679</v>
      </c>
      <c r="B528" s="718" t="s">
        <v>850</v>
      </c>
      <c r="C528" s="720">
        <v>3640.38</v>
      </c>
      <c r="D528" s="720">
        <v>1213.46</v>
      </c>
      <c r="E528" s="720">
        <v>4853.84</v>
      </c>
      <c r="F528" s="718" t="s">
        <v>2229</v>
      </c>
      <c r="G528" s="718" t="s">
        <v>2276</v>
      </c>
      <c r="H528" s="673" t="s">
        <v>2971</v>
      </c>
      <c r="I528" s="672"/>
      <c r="J528" s="672"/>
      <c r="K528" s="672"/>
      <c r="L528" s="149" t="str">
        <f t="shared" si="40"/>
        <v>85E</v>
      </c>
      <c r="M528" s="150" t="str">
        <f t="shared" si="41"/>
        <v>ASS. BATISSE - SERV. BMW</v>
      </c>
      <c r="N528" s="151">
        <f>+IF(OR($Q528=Parametres!$G$2,$Q528=Parametres!$G$3),I528,C528)</f>
        <v>3640.38</v>
      </c>
      <c r="O528" s="151">
        <f>+IF(OR($Q528=Parametres!$G$2,$Q528=Parametres!$G$3),J528,D528)</f>
        <v>1213.46</v>
      </c>
      <c r="P528" s="151">
        <f>+IF(OR($Q528=Parametres!$G$2,$Q528=Parametres!$G$3),K528,E528)</f>
        <v>4853.84</v>
      </c>
      <c r="Q528" s="150" t="str">
        <f t="shared" si="42"/>
        <v>7-Dépenses</v>
      </c>
      <c r="R528" s="149" t="str">
        <f t="shared" si="43"/>
        <v>85</v>
      </c>
      <c r="S528" s="150" t="str">
        <f t="shared" si="44"/>
        <v>_</v>
      </c>
      <c r="T528" s="152" t="str">
        <f>+VLOOKUP($L528,Data_Validation!$A:$D,1,0)</f>
        <v>85E</v>
      </c>
      <c r="U528" s="152" t="str">
        <f>+VLOOKUP($L528,Data_Validation!$A:$D,3,0)</f>
        <v>Service</v>
      </c>
      <c r="V528" s="152" t="str">
        <f>+VLOOKUP($L528,Data_Validation!$A:$D,4,0)</f>
        <v>assurances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1676</v>
      </c>
      <c r="B529" s="718" t="s">
        <v>848</v>
      </c>
      <c r="C529" s="720">
        <v>2912.31</v>
      </c>
      <c r="D529" s="720">
        <v>970.77</v>
      </c>
      <c r="E529" s="720">
        <v>3883.08</v>
      </c>
      <c r="F529" s="718" t="s">
        <v>2229</v>
      </c>
      <c r="G529" s="718" t="s">
        <v>2276</v>
      </c>
      <c r="H529" s="673" t="s">
        <v>2971</v>
      </c>
      <c r="I529" s="673"/>
      <c r="J529" s="673"/>
      <c r="K529" s="673"/>
      <c r="L529" s="149" t="str">
        <f t="shared" si="40"/>
        <v>85G</v>
      </c>
      <c r="M529" s="150" t="str">
        <f t="shared" si="41"/>
        <v>ASS. BATISSE - PIECE BMW</v>
      </c>
      <c r="N529" s="151">
        <f>+IF(OR($Q529=Parametres!$G$2,$Q529=Parametres!$G$3),I529,C529)</f>
        <v>2912.31</v>
      </c>
      <c r="O529" s="151">
        <f>+IF(OR($Q529=Parametres!$G$2,$Q529=Parametres!$G$3),J529,D529)</f>
        <v>970.77</v>
      </c>
      <c r="P529" s="151">
        <f>+IF(OR($Q529=Parametres!$G$2,$Q529=Parametres!$G$3),K529,E529)</f>
        <v>3883.08</v>
      </c>
      <c r="Q529" s="150" t="str">
        <f t="shared" si="42"/>
        <v>7-Dépenses</v>
      </c>
      <c r="R529" s="149" t="str">
        <f t="shared" si="43"/>
        <v>85</v>
      </c>
      <c r="S529" s="150" t="str">
        <f t="shared" si="44"/>
        <v>_</v>
      </c>
      <c r="T529" s="152" t="str">
        <f>+VLOOKUP($L529,Data_Validation!$A:$D,1,0)</f>
        <v>85G</v>
      </c>
      <c r="U529" s="152" t="str">
        <f>+VLOOKUP($L529,Data_Validation!$A:$D,3,0)</f>
        <v>pièces</v>
      </c>
      <c r="V529" s="152" t="str">
        <f>+VLOOKUP($L529,Data_Validation!$A:$D,4,0)</f>
        <v>assurances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1229</v>
      </c>
      <c r="B530" s="718" t="s">
        <v>878</v>
      </c>
      <c r="C530" s="720">
        <v>8251.42</v>
      </c>
      <c r="D530" s="720">
        <v>2904.35</v>
      </c>
      <c r="E530" s="720">
        <v>11155.77</v>
      </c>
      <c r="F530" s="718" t="s">
        <v>2229</v>
      </c>
      <c r="G530" s="718" t="s">
        <v>2275</v>
      </c>
      <c r="H530" s="673" t="s">
        <v>2971</v>
      </c>
      <c r="I530" s="672"/>
      <c r="J530" s="672"/>
      <c r="K530" s="672"/>
      <c r="L530" s="149" t="str">
        <f t="shared" si="40"/>
        <v>87A</v>
      </c>
      <c r="M530" s="150" t="str">
        <f t="shared" si="41"/>
        <v>CHAUFF. ELECT. EAU - NEUF BMW</v>
      </c>
      <c r="N530" s="151">
        <f>+IF(OR($Q530=Parametres!$G$2,$Q530=Parametres!$G$3),I530,C530)</f>
        <v>8251.42</v>
      </c>
      <c r="O530" s="151">
        <f>+IF(OR($Q530=Parametres!$G$2,$Q530=Parametres!$G$3),J530,D530)</f>
        <v>2904.35</v>
      </c>
      <c r="P530" s="151">
        <f>+IF(OR($Q530=Parametres!$G$2,$Q530=Parametres!$G$3),K530,E530)</f>
        <v>11155.77</v>
      </c>
      <c r="Q530" s="150" t="str">
        <f t="shared" si="42"/>
        <v>7-Dépenses</v>
      </c>
      <c r="R530" s="149" t="str">
        <f t="shared" si="43"/>
        <v>87</v>
      </c>
      <c r="S530" s="150" t="str">
        <f t="shared" si="44"/>
        <v>_</v>
      </c>
      <c r="T530" s="152" t="str">
        <f>+VLOOKUP($L530,Data_Validation!$A:$D,1,0)</f>
        <v>87A</v>
      </c>
      <c r="U530" s="152" t="str">
        <f>+VLOOKUP($L530,Data_Validation!$A:$D,3,0)</f>
        <v>Véhicules neufs</v>
      </c>
      <c r="V530" s="152" t="str">
        <f>+VLOOKUP($L530,Data_Validation!$A:$D,4,0)</f>
        <v>Chauffage, éclairage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1235</v>
      </c>
      <c r="B531" s="718" t="s">
        <v>827</v>
      </c>
      <c r="C531" s="720">
        <v>1833.65</v>
      </c>
      <c r="D531" s="720">
        <v>645.41</v>
      </c>
      <c r="E531" s="720">
        <v>2479.06</v>
      </c>
      <c r="F531" s="718" t="s">
        <v>2229</v>
      </c>
      <c r="G531" s="718" t="s">
        <v>2275</v>
      </c>
      <c r="H531" s="673" t="s">
        <v>2971</v>
      </c>
      <c r="I531" s="672"/>
      <c r="J531" s="672"/>
      <c r="K531" s="672"/>
      <c r="L531" s="149" t="str">
        <f t="shared" si="40"/>
        <v>87C</v>
      </c>
      <c r="M531" s="150" t="str">
        <f t="shared" si="41"/>
        <v>CHAUFF. ELECT. EAU - USAGE BMW</v>
      </c>
      <c r="N531" s="151">
        <f>+IF(OR($Q531=Parametres!$G$2,$Q531=Parametres!$G$3),I531,C531)</f>
        <v>1833.65</v>
      </c>
      <c r="O531" s="151">
        <f>+IF(OR($Q531=Parametres!$G$2,$Q531=Parametres!$G$3),J531,D531)</f>
        <v>645.41</v>
      </c>
      <c r="P531" s="151">
        <f>+IF(OR($Q531=Parametres!$G$2,$Q531=Parametres!$G$3),K531,E531)</f>
        <v>2479.06</v>
      </c>
      <c r="Q531" s="150" t="str">
        <f t="shared" si="42"/>
        <v>7-Dépenses</v>
      </c>
      <c r="R531" s="149" t="str">
        <f t="shared" si="43"/>
        <v>87</v>
      </c>
      <c r="S531" s="150" t="str">
        <f t="shared" si="44"/>
        <v>_</v>
      </c>
      <c r="T531" s="152" t="str">
        <f>+VLOOKUP($L531,Data_Validation!$A:$D,1,0)</f>
        <v>87C</v>
      </c>
      <c r="U531" s="152" t="str">
        <f>+VLOOKUP($L531,Data_Validation!$A:$D,3,0)</f>
        <v>Véhicules usagés</v>
      </c>
      <c r="V531" s="152" t="str">
        <f>+VLOOKUP($L531,Data_Validation!$A:$D,4,0)</f>
        <v>Chauffage, éclairage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1231</v>
      </c>
      <c r="B532" s="718" t="s">
        <v>849</v>
      </c>
      <c r="C532" s="720">
        <v>4584.12</v>
      </c>
      <c r="D532" s="720">
        <v>1613.53</v>
      </c>
      <c r="E532" s="720">
        <v>6197.65</v>
      </c>
      <c r="F532" s="718" t="s">
        <v>2229</v>
      </c>
      <c r="G532" s="718" t="s">
        <v>2275</v>
      </c>
      <c r="H532" s="673" t="s">
        <v>2971</v>
      </c>
      <c r="I532" s="672"/>
      <c r="J532" s="672"/>
      <c r="K532" s="672"/>
      <c r="L532" s="149" t="str">
        <f t="shared" si="40"/>
        <v>87E</v>
      </c>
      <c r="M532" s="150" t="str">
        <f t="shared" si="41"/>
        <v>CHAUFF. ELECT. EAU - SERV. BMW</v>
      </c>
      <c r="N532" s="151">
        <f>+IF(OR($Q532=Parametres!$G$2,$Q532=Parametres!$G$3),I532,C532)</f>
        <v>4584.12</v>
      </c>
      <c r="O532" s="151">
        <f>+IF(OR($Q532=Parametres!$G$2,$Q532=Parametres!$G$3),J532,D532)</f>
        <v>1613.53</v>
      </c>
      <c r="P532" s="151">
        <f>+IF(OR($Q532=Parametres!$G$2,$Q532=Parametres!$G$3),K532,E532)</f>
        <v>6197.65</v>
      </c>
      <c r="Q532" s="150" t="str">
        <f t="shared" si="42"/>
        <v>7-Dépenses</v>
      </c>
      <c r="R532" s="149" t="str">
        <f t="shared" si="43"/>
        <v>87</v>
      </c>
      <c r="S532" s="150" t="str">
        <f t="shared" si="44"/>
        <v>_</v>
      </c>
      <c r="T532" s="152" t="str">
        <f>+VLOOKUP($L532,Data_Validation!$A:$D,1,0)</f>
        <v>87E</v>
      </c>
      <c r="U532" s="152" t="str">
        <f>+VLOOKUP($L532,Data_Validation!$A:$D,3,0)</f>
        <v>Service</v>
      </c>
      <c r="V532" s="152" t="str">
        <f>+VLOOKUP($L532,Data_Validation!$A:$D,4,0)</f>
        <v>Chauffage, éclairage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1232</v>
      </c>
      <c r="B533" s="718" t="s">
        <v>846</v>
      </c>
      <c r="C533" s="719">
        <v>3667.28</v>
      </c>
      <c r="D533" s="719">
        <v>1290.82</v>
      </c>
      <c r="E533" s="719">
        <v>4958.1000000000004</v>
      </c>
      <c r="F533" s="718" t="s">
        <v>2229</v>
      </c>
      <c r="G533" s="718" t="s">
        <v>2275</v>
      </c>
      <c r="H533" s="719" t="s">
        <v>2971</v>
      </c>
      <c r="I533" s="720"/>
      <c r="J533" s="720"/>
      <c r="K533" s="720"/>
      <c r="L533" s="149" t="str">
        <f t="shared" si="40"/>
        <v>87G</v>
      </c>
      <c r="M533" s="150" t="str">
        <f t="shared" si="41"/>
        <v>CHAUFF. ELECT. EAU - PIECE BMW</v>
      </c>
      <c r="N533" s="151">
        <f>+IF(OR($Q533=Parametres!$G$2,$Q533=Parametres!$G$3),I533,C533)</f>
        <v>3667.28</v>
      </c>
      <c r="O533" s="151">
        <f>+IF(OR($Q533=Parametres!$G$2,$Q533=Parametres!$G$3),J533,D533)</f>
        <v>1290.82</v>
      </c>
      <c r="P533" s="151">
        <f>+IF(OR($Q533=Parametres!$G$2,$Q533=Parametres!$G$3),K533,E533)</f>
        <v>4958.1000000000004</v>
      </c>
      <c r="Q533" s="150" t="str">
        <f t="shared" si="42"/>
        <v>7-Dépenses</v>
      </c>
      <c r="R533" s="149" t="str">
        <f t="shared" si="43"/>
        <v>87</v>
      </c>
      <c r="S533" s="150" t="str">
        <f t="shared" si="44"/>
        <v>_</v>
      </c>
      <c r="T533" s="152" t="str">
        <f>+VLOOKUP($L533,Data_Validation!$A:$D,1,0)</f>
        <v>87G</v>
      </c>
      <c r="U533" s="152" t="str">
        <f>+VLOOKUP($L533,Data_Validation!$A:$D,3,0)</f>
        <v>pièces</v>
      </c>
      <c r="V533" s="152" t="str">
        <f>+VLOOKUP($L533,Data_Validation!$A:$D,4,0)</f>
        <v>Chauffage, éclairage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1719</v>
      </c>
      <c r="B534" s="718" t="s">
        <v>865</v>
      </c>
      <c r="C534" s="719">
        <v>3566.04</v>
      </c>
      <c r="D534" s="719">
        <v>1188.68</v>
      </c>
      <c r="E534" s="719">
        <v>4754.72</v>
      </c>
      <c r="F534" s="718" t="s">
        <v>2229</v>
      </c>
      <c r="G534" s="718" t="s">
        <v>2273</v>
      </c>
      <c r="H534" s="719" t="s">
        <v>2971</v>
      </c>
      <c r="I534" s="720"/>
      <c r="J534" s="720"/>
      <c r="K534" s="720"/>
      <c r="L534" s="149" t="str">
        <f t="shared" si="40"/>
        <v>89A</v>
      </c>
      <c r="M534" s="150" t="str">
        <f t="shared" si="41"/>
        <v>TAXES &amp; PERMIS - NEUF BMW</v>
      </c>
      <c r="N534" s="151">
        <f>+IF(OR($Q534=Parametres!$G$2,$Q534=Parametres!$G$3),I534,C534)</f>
        <v>3566.04</v>
      </c>
      <c r="O534" s="505">
        <f>+IF(OR($Q534=Parametres!$G$2,$Q534=Parametres!$G$3),J534,D534)</f>
        <v>1188.68</v>
      </c>
      <c r="P534" s="151">
        <f>+IF(OR($Q534=Parametres!$G$2,$Q534=Parametres!$G$3),K534,E534)</f>
        <v>4754.72</v>
      </c>
      <c r="Q534" s="150" t="str">
        <f t="shared" si="42"/>
        <v>7-Dépenses</v>
      </c>
      <c r="R534" s="149" t="str">
        <f t="shared" si="43"/>
        <v>89</v>
      </c>
      <c r="S534" s="150" t="str">
        <f t="shared" si="44"/>
        <v>_</v>
      </c>
      <c r="T534" s="152" t="str">
        <f>+VLOOKUP($L534,Data_Validation!$A:$D,1,0)</f>
        <v>89A</v>
      </c>
      <c r="U534" s="152" t="str">
        <f>+VLOOKUP($L534,Data_Validation!$A:$D,3,0)</f>
        <v>Véhicules neufs</v>
      </c>
      <c r="V534" s="152" t="str">
        <f>+VLOOKUP($L534,Data_Validation!$A:$D,4,0)</f>
        <v>Taxes d`affaires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1660</v>
      </c>
      <c r="B535" s="718" t="s">
        <v>817</v>
      </c>
      <c r="C535" s="720">
        <v>792.45</v>
      </c>
      <c r="D535" s="720">
        <v>264.14999999999998</v>
      </c>
      <c r="E535" s="720">
        <v>1056.5999999999999</v>
      </c>
      <c r="F535" s="718" t="s">
        <v>2229</v>
      </c>
      <c r="G535" s="718" t="s">
        <v>2273</v>
      </c>
      <c r="H535" s="673" t="s">
        <v>2971</v>
      </c>
      <c r="I535" s="672"/>
      <c r="J535" s="672"/>
      <c r="K535" s="672"/>
      <c r="L535" s="149" t="str">
        <f t="shared" si="40"/>
        <v>89C</v>
      </c>
      <c r="M535" s="150" t="str">
        <f t="shared" si="41"/>
        <v>TAXES &amp; PERMIS - USAGE BMW</v>
      </c>
      <c r="N535" s="151">
        <f>+IF(OR($Q535=Parametres!$G$2,$Q535=Parametres!$G$3),I535,C535)</f>
        <v>792.45</v>
      </c>
      <c r="O535" s="151">
        <f>+IF(OR($Q535=Parametres!$G$2,$Q535=Parametres!$G$3),J535,D535)</f>
        <v>264.14999999999998</v>
      </c>
      <c r="P535" s="151">
        <f>+IF(OR($Q535=Parametres!$G$2,$Q535=Parametres!$G$3),K535,E535)</f>
        <v>1056.5999999999999</v>
      </c>
      <c r="Q535" s="150" t="str">
        <f t="shared" si="42"/>
        <v>7-Dépenses</v>
      </c>
      <c r="R535" s="149" t="str">
        <f t="shared" si="43"/>
        <v>89</v>
      </c>
      <c r="S535" s="150" t="str">
        <f t="shared" si="44"/>
        <v>_</v>
      </c>
      <c r="T535" s="152" t="str">
        <f>+VLOOKUP($L535,Data_Validation!$A:$D,1,0)</f>
        <v>89C</v>
      </c>
      <c r="U535" s="152" t="str">
        <f>+VLOOKUP($L535,Data_Validation!$A:$D,3,0)</f>
        <v>Véhicules usagés</v>
      </c>
      <c r="V535" s="152" t="str">
        <f>+VLOOKUP($L535,Data_Validation!$A:$D,4,0)</f>
        <v>Taxes d`affaires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1684</v>
      </c>
      <c r="B536" s="718" t="s">
        <v>839</v>
      </c>
      <c r="C536" s="720">
        <v>1981.14</v>
      </c>
      <c r="D536" s="720">
        <v>660.38</v>
      </c>
      <c r="E536" s="720">
        <v>2641.52</v>
      </c>
      <c r="F536" s="718" t="s">
        <v>2229</v>
      </c>
      <c r="G536" s="718" t="s">
        <v>2273</v>
      </c>
      <c r="H536" s="673" t="s">
        <v>2971</v>
      </c>
      <c r="I536" s="672"/>
      <c r="J536" s="672"/>
      <c r="K536" s="672"/>
      <c r="L536" s="149" t="str">
        <f t="shared" si="40"/>
        <v>89E</v>
      </c>
      <c r="M536" s="150" t="str">
        <f t="shared" si="41"/>
        <v>TAXES &amp; PERMIS - SERV. BMW</v>
      </c>
      <c r="N536" s="151">
        <f>+IF(OR($Q536=Parametres!$G$2,$Q536=Parametres!$G$3),I536,C536)</f>
        <v>1981.14</v>
      </c>
      <c r="O536" s="504">
        <f>+IF(OR($Q536=Parametres!$G$2,$Q536=Parametres!$G$3),J536,D536)</f>
        <v>660.38</v>
      </c>
      <c r="P536" s="151">
        <f>+IF(OR($Q536=Parametres!$G$2,$Q536=Parametres!$G$3),K536,E536)</f>
        <v>2641.52</v>
      </c>
      <c r="Q536" s="150" t="str">
        <f t="shared" si="42"/>
        <v>7-Dépenses</v>
      </c>
      <c r="R536" s="149" t="str">
        <f t="shared" si="43"/>
        <v>89</v>
      </c>
      <c r="S536" s="150" t="str">
        <f t="shared" si="44"/>
        <v>_</v>
      </c>
      <c r="T536" s="152" t="str">
        <f>+VLOOKUP($L536,Data_Validation!$A:$D,1,0)</f>
        <v>89E</v>
      </c>
      <c r="U536" s="152" t="str">
        <f>+VLOOKUP($L536,Data_Validation!$A:$D,3,0)</f>
        <v>Service</v>
      </c>
      <c r="V536" s="152" t="str">
        <f>+VLOOKUP($L536,Data_Validation!$A:$D,4,0)</f>
        <v>Taxes d`affaires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1678</v>
      </c>
      <c r="B537" s="718" t="s">
        <v>835</v>
      </c>
      <c r="C537" s="719">
        <v>1584.87</v>
      </c>
      <c r="D537" s="719">
        <v>528.29</v>
      </c>
      <c r="E537" s="719">
        <v>2113.16</v>
      </c>
      <c r="F537" s="718" t="s">
        <v>2229</v>
      </c>
      <c r="G537" s="718" t="s">
        <v>2273</v>
      </c>
      <c r="H537" s="719" t="s">
        <v>2971</v>
      </c>
      <c r="I537" s="720"/>
      <c r="J537" s="720"/>
      <c r="K537" s="720"/>
      <c r="L537" s="149" t="str">
        <f t="shared" si="40"/>
        <v>89G</v>
      </c>
      <c r="M537" s="150" t="str">
        <f t="shared" si="41"/>
        <v>TAXES &amp; PERMIS - PIECE BMW</v>
      </c>
      <c r="N537" s="151">
        <f>+IF(OR($Q537=Parametres!$G$2,$Q537=Parametres!$G$3),I537,C537)</f>
        <v>1584.87</v>
      </c>
      <c r="O537" s="151">
        <f>+IF(OR($Q537=Parametres!$G$2,$Q537=Parametres!$G$3),J537,D537)</f>
        <v>528.29</v>
      </c>
      <c r="P537" s="151">
        <f>+IF(OR($Q537=Parametres!$G$2,$Q537=Parametres!$G$3),K537,E537)</f>
        <v>2113.16</v>
      </c>
      <c r="Q537" s="150" t="str">
        <f t="shared" si="42"/>
        <v>7-Dépenses</v>
      </c>
      <c r="R537" s="149" t="str">
        <f t="shared" si="43"/>
        <v>89</v>
      </c>
      <c r="S537" s="150" t="str">
        <f t="shared" si="44"/>
        <v>_</v>
      </c>
      <c r="T537" s="152" t="str">
        <f>+VLOOKUP($L537,Data_Validation!$A:$D,1,0)</f>
        <v>89G</v>
      </c>
      <c r="U537" s="152" t="str">
        <f>+VLOOKUP($L537,Data_Validation!$A:$D,3,0)</f>
        <v>pièces</v>
      </c>
      <c r="V537" s="152" t="str">
        <f>+VLOOKUP($L537,Data_Validation!$A:$D,4,0)</f>
        <v>Taxes d`affaires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1183</v>
      </c>
      <c r="B538" s="718" t="s">
        <v>687</v>
      </c>
      <c r="C538" s="719">
        <v>1200</v>
      </c>
      <c r="D538" s="719">
        <v>2791.9</v>
      </c>
      <c r="E538" s="719">
        <v>3991.9</v>
      </c>
      <c r="F538" s="718" t="s">
        <v>2229</v>
      </c>
      <c r="G538" s="718" t="s">
        <v>2290</v>
      </c>
      <c r="H538" s="719" t="s">
        <v>2971</v>
      </c>
      <c r="I538" s="720"/>
      <c r="J538" s="720"/>
      <c r="K538" s="720"/>
      <c r="L538" s="149" t="str">
        <f t="shared" si="40"/>
        <v>90E</v>
      </c>
      <c r="M538" s="150" t="str">
        <f t="shared" si="41"/>
        <v>REP. EQUIPEMENT - SERV. BMW</v>
      </c>
      <c r="N538" s="151">
        <f>+IF(OR($Q538=Parametres!$G$2,$Q538=Parametres!$G$3),I538,C538)</f>
        <v>1200</v>
      </c>
      <c r="O538" s="504">
        <f>+IF(OR($Q538=Parametres!$G$2,$Q538=Parametres!$G$3),J538,D538)</f>
        <v>2791.9</v>
      </c>
      <c r="P538" s="151">
        <f>+IF(OR($Q538=Parametres!$G$2,$Q538=Parametres!$G$3),K538,E538)</f>
        <v>3991.9</v>
      </c>
      <c r="Q538" s="150" t="str">
        <f t="shared" si="42"/>
        <v>7-Dépenses</v>
      </c>
      <c r="R538" s="149" t="str">
        <f t="shared" si="43"/>
        <v>90</v>
      </c>
      <c r="S538" s="150" t="str">
        <f t="shared" si="44"/>
        <v>_</v>
      </c>
      <c r="T538" s="152" t="str">
        <f>+VLOOKUP($L538,Data_Validation!$A:$D,1,0)</f>
        <v>90E</v>
      </c>
      <c r="U538" s="152" t="str">
        <f>+VLOOKUP($L538,Data_Validation!$A:$D,3,0)</f>
        <v>Service</v>
      </c>
      <c r="V538" s="152" t="str">
        <f>+VLOOKUP($L538,Data_Validation!$A:$D,4,0)</f>
        <v>Réparation équipement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1175</v>
      </c>
      <c r="B539" s="718" t="s">
        <v>894</v>
      </c>
      <c r="C539" s="719">
        <v>5737.5</v>
      </c>
      <c r="D539" s="719">
        <v>1912.5</v>
      </c>
      <c r="E539" s="719">
        <v>7650</v>
      </c>
      <c r="F539" s="718" t="s">
        <v>2229</v>
      </c>
      <c r="G539" s="718" t="s">
        <v>2278</v>
      </c>
      <c r="H539" s="719" t="s">
        <v>2971</v>
      </c>
      <c r="I539" s="720"/>
      <c r="J539" s="720"/>
      <c r="K539" s="720"/>
      <c r="L539" s="149" t="str">
        <f t="shared" si="40"/>
        <v>91A</v>
      </c>
      <c r="M539" s="150" t="str">
        <f t="shared" si="41"/>
        <v>DEPREC. EQUIP. - NEUF BMW</v>
      </c>
      <c r="N539" s="151">
        <f>+IF(OR($Q539=Parametres!$G$2,$Q539=Parametres!$G$3),I539,C539)</f>
        <v>5737.5</v>
      </c>
      <c r="O539" s="151">
        <f>+IF(OR($Q539=Parametres!$G$2,$Q539=Parametres!$G$3),J539,D539)</f>
        <v>1912.5</v>
      </c>
      <c r="P539" s="151">
        <f>+IF(OR($Q539=Parametres!$G$2,$Q539=Parametres!$G$3),K539,E539)</f>
        <v>7650</v>
      </c>
      <c r="Q539" s="150" t="str">
        <f t="shared" si="42"/>
        <v>7-Dépenses</v>
      </c>
      <c r="R539" s="149" t="str">
        <f t="shared" si="43"/>
        <v>91</v>
      </c>
      <c r="S539" s="150" t="str">
        <f t="shared" si="44"/>
        <v>_</v>
      </c>
      <c r="T539" s="152" t="str">
        <f>+VLOOKUP($L539,Data_Validation!$A:$D,1,0)</f>
        <v>91A</v>
      </c>
      <c r="U539" s="152" t="str">
        <f>+VLOOKUP($L539,Data_Validation!$A:$D,3,0)</f>
        <v>Véhicules neufs</v>
      </c>
      <c r="V539" s="152" t="str">
        <f>+VLOOKUP($L539,Data_Validation!$A:$D,4,0)</f>
        <v>amortissement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1214</v>
      </c>
      <c r="B540" s="718" t="s">
        <v>836</v>
      </c>
      <c r="C540" s="720">
        <v>1275</v>
      </c>
      <c r="D540" s="720">
        <v>425</v>
      </c>
      <c r="E540" s="720">
        <v>1700</v>
      </c>
      <c r="F540" s="718" t="s">
        <v>2229</v>
      </c>
      <c r="G540" s="718" t="s">
        <v>2278</v>
      </c>
      <c r="H540" s="673" t="s">
        <v>2971</v>
      </c>
      <c r="I540" s="672"/>
      <c r="J540" s="672"/>
      <c r="K540" s="672"/>
      <c r="L540" s="149" t="str">
        <f t="shared" si="40"/>
        <v>91C</v>
      </c>
      <c r="M540" s="150" t="str">
        <f t="shared" si="41"/>
        <v>DEPREC. EQUIP. - USAGE BMW</v>
      </c>
      <c r="N540" s="151">
        <f>+IF(OR($Q540=Parametres!$G$2,$Q540=Parametres!$G$3),I540,C540)</f>
        <v>1275</v>
      </c>
      <c r="O540" s="151">
        <f>+IF(OR($Q540=Parametres!$G$2,$Q540=Parametres!$G$3),J540,D540)</f>
        <v>425</v>
      </c>
      <c r="P540" s="151">
        <f>+IF(OR($Q540=Parametres!$G$2,$Q540=Parametres!$G$3),K540,E540)</f>
        <v>1700</v>
      </c>
      <c r="Q540" s="150" t="str">
        <f t="shared" si="42"/>
        <v>7-Dépenses</v>
      </c>
      <c r="R540" s="149" t="str">
        <f t="shared" si="43"/>
        <v>91</v>
      </c>
      <c r="S540" s="150" t="str">
        <f t="shared" si="44"/>
        <v>_</v>
      </c>
      <c r="T540" s="152" t="str">
        <f>+VLOOKUP($L540,Data_Validation!$A:$D,1,0)</f>
        <v>91C</v>
      </c>
      <c r="U540" s="152" t="str">
        <f>+VLOOKUP($L540,Data_Validation!$A:$D,3,0)</f>
        <v>Véhicules usagés</v>
      </c>
      <c r="V540" s="152" t="str">
        <f>+VLOOKUP($L540,Data_Validation!$A:$D,4,0)</f>
        <v>amortissement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1173</v>
      </c>
      <c r="B541" s="718" t="s">
        <v>944</v>
      </c>
      <c r="C541" s="720">
        <v>15937.5</v>
      </c>
      <c r="D541" s="720">
        <v>5312.5</v>
      </c>
      <c r="E541" s="720">
        <v>21250</v>
      </c>
      <c r="F541" s="718" t="s">
        <v>2229</v>
      </c>
      <c r="G541" s="718" t="s">
        <v>2278</v>
      </c>
      <c r="H541" s="673" t="s">
        <v>2971</v>
      </c>
      <c r="I541" s="672"/>
      <c r="J541" s="672"/>
      <c r="K541" s="672"/>
      <c r="L541" s="149" t="str">
        <f t="shared" si="40"/>
        <v>91E</v>
      </c>
      <c r="M541" s="150" t="str">
        <f t="shared" si="41"/>
        <v>DEPREC. EQUIP. - SERV. BMW</v>
      </c>
      <c r="N541" s="151">
        <f>+IF(OR($Q541=Parametres!$G$2,$Q541=Parametres!$G$3),I541,C541)</f>
        <v>15937.5</v>
      </c>
      <c r="O541" s="151">
        <f>+IF(OR($Q541=Parametres!$G$2,$Q541=Parametres!$G$3),J541,D541)</f>
        <v>5312.5</v>
      </c>
      <c r="P541" s="151">
        <f>+IF(OR($Q541=Parametres!$G$2,$Q541=Parametres!$G$3),K541,E541)</f>
        <v>21250</v>
      </c>
      <c r="Q541" s="150" t="str">
        <f t="shared" si="42"/>
        <v>7-Dépenses</v>
      </c>
      <c r="R541" s="149" t="str">
        <f t="shared" si="43"/>
        <v>91</v>
      </c>
      <c r="S541" s="150" t="str">
        <f t="shared" si="44"/>
        <v>_</v>
      </c>
      <c r="T541" s="152" t="str">
        <f>+VLOOKUP($L541,Data_Validation!$A:$D,1,0)</f>
        <v>91E</v>
      </c>
      <c r="U541" s="152" t="str">
        <f>+VLOOKUP($L541,Data_Validation!$A:$D,3,0)</f>
        <v>Service</v>
      </c>
      <c r="V541" s="152" t="str">
        <f>+VLOOKUP($L541,Data_Validation!$A:$D,4,0)</f>
        <v>amortissement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1188</v>
      </c>
      <c r="B542" s="718" t="s">
        <v>866</v>
      </c>
      <c r="C542" s="719">
        <v>2700</v>
      </c>
      <c r="D542" s="719">
        <v>900</v>
      </c>
      <c r="E542" s="719">
        <v>3600</v>
      </c>
      <c r="F542" s="718" t="s">
        <v>2229</v>
      </c>
      <c r="G542" s="718" t="s">
        <v>2278</v>
      </c>
      <c r="H542" s="719" t="s">
        <v>2971</v>
      </c>
      <c r="I542" s="720"/>
      <c r="J542" s="720"/>
      <c r="K542" s="720"/>
      <c r="L542" s="149" t="str">
        <f t="shared" si="40"/>
        <v>91G</v>
      </c>
      <c r="M542" s="150" t="str">
        <f t="shared" si="41"/>
        <v>DEPREC. EQUIP. - PIECE BMW</v>
      </c>
      <c r="N542" s="151">
        <f>+IF(OR($Q542=Parametres!$G$2,$Q542=Parametres!$G$3),I542,C542)</f>
        <v>2700</v>
      </c>
      <c r="O542" s="504">
        <f>+IF(OR($Q542=Parametres!$G$2,$Q542=Parametres!$G$3),J542,D542)</f>
        <v>900</v>
      </c>
      <c r="P542" s="151">
        <f>+IF(OR($Q542=Parametres!$G$2,$Q542=Parametres!$G$3),K542,E542)</f>
        <v>3600</v>
      </c>
      <c r="Q542" s="150" t="str">
        <f t="shared" si="42"/>
        <v>7-Dépenses</v>
      </c>
      <c r="R542" s="149" t="str">
        <f t="shared" si="43"/>
        <v>91</v>
      </c>
      <c r="S542" s="150" t="str">
        <f t="shared" si="44"/>
        <v>_</v>
      </c>
      <c r="T542" s="152" t="str">
        <f>+VLOOKUP($L542,Data_Validation!$A:$D,1,0)</f>
        <v>91G</v>
      </c>
      <c r="U542" s="152" t="str">
        <f>+VLOOKUP($L542,Data_Validation!$A:$D,3,0)</f>
        <v>pièces</v>
      </c>
      <c r="V542" s="152" t="str">
        <f>+VLOOKUP($L542,Data_Validation!$A:$D,4,0)</f>
        <v>amortissement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1615</v>
      </c>
      <c r="B543" s="718" t="s">
        <v>789</v>
      </c>
      <c r="C543" s="719">
        <v>234.84</v>
      </c>
      <c r="D543" s="719">
        <v>78.28</v>
      </c>
      <c r="E543" s="719">
        <v>313.12</v>
      </c>
      <c r="F543" s="718" t="s">
        <v>2229</v>
      </c>
      <c r="G543" s="718" t="s">
        <v>2261</v>
      </c>
      <c r="H543" s="719" t="s">
        <v>2971</v>
      </c>
      <c r="I543" s="720"/>
      <c r="J543" s="720"/>
      <c r="K543" s="720"/>
      <c r="L543" s="149" t="str">
        <f t="shared" si="40"/>
        <v>92A</v>
      </c>
      <c r="M543" s="150" t="str">
        <f t="shared" si="41"/>
        <v>LOCATION EQUIP. - NEUF BMW</v>
      </c>
      <c r="N543" s="151">
        <f>+IF(OR($Q543=Parametres!$G$2,$Q543=Parametres!$G$3),I543,C543)</f>
        <v>234.84</v>
      </c>
      <c r="O543" s="504">
        <f>+IF(OR($Q543=Parametres!$G$2,$Q543=Parametres!$G$3),J543,D543)</f>
        <v>78.28</v>
      </c>
      <c r="P543" s="151">
        <f>+IF(OR($Q543=Parametres!$G$2,$Q543=Parametres!$G$3),K543,E543)</f>
        <v>313.12</v>
      </c>
      <c r="Q543" s="150" t="str">
        <f t="shared" si="42"/>
        <v>7-Dépenses</v>
      </c>
      <c r="R543" s="149" t="str">
        <f t="shared" si="43"/>
        <v>92</v>
      </c>
      <c r="S543" s="150" t="str">
        <f t="shared" si="44"/>
        <v>_</v>
      </c>
      <c r="T543" s="152" t="str">
        <f>+VLOOKUP($L543,Data_Validation!$A:$D,1,0)</f>
        <v>92A</v>
      </c>
      <c r="U543" s="152" t="str">
        <f>+VLOOKUP($L543,Data_Validation!$A:$D,3,0)</f>
        <v>Véhicules neufs</v>
      </c>
      <c r="V543" s="152" t="str">
        <f>+VLOOKUP($L543,Data_Validation!$A:$D,4,0)</f>
        <v>Location équipement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1607</v>
      </c>
      <c r="B544" s="718" t="s">
        <v>771</v>
      </c>
      <c r="C544" s="719">
        <v>52.2</v>
      </c>
      <c r="D544" s="719">
        <v>17.399999999999999</v>
      </c>
      <c r="E544" s="719">
        <v>69.599999999999994</v>
      </c>
      <c r="F544" s="718" t="s">
        <v>2229</v>
      </c>
      <c r="G544" s="718" t="s">
        <v>2261</v>
      </c>
      <c r="H544" s="719" t="s">
        <v>2971</v>
      </c>
      <c r="I544" s="720"/>
      <c r="J544" s="720"/>
      <c r="K544" s="720"/>
      <c r="L544" s="149" t="str">
        <f t="shared" si="40"/>
        <v>92C</v>
      </c>
      <c r="M544" s="150" t="str">
        <f t="shared" si="41"/>
        <v>LOCATION EQUIP. - USAGE BMW</v>
      </c>
      <c r="N544" s="151">
        <f>+IF(OR($Q544=Parametres!$G$2,$Q544=Parametres!$G$3),I544,C544)</f>
        <v>52.2</v>
      </c>
      <c r="O544" s="151">
        <f>+IF(OR($Q544=Parametres!$G$2,$Q544=Parametres!$G$3),J544,D544)</f>
        <v>17.399999999999999</v>
      </c>
      <c r="P544" s="151">
        <f>+IF(OR($Q544=Parametres!$G$2,$Q544=Parametres!$G$3),K544,E544)</f>
        <v>69.599999999999994</v>
      </c>
      <c r="Q544" s="150" t="str">
        <f t="shared" si="42"/>
        <v>7-Dépenses</v>
      </c>
      <c r="R544" s="149" t="str">
        <f t="shared" si="43"/>
        <v>92</v>
      </c>
      <c r="S544" s="150" t="str">
        <f t="shared" si="44"/>
        <v>_</v>
      </c>
      <c r="T544" s="152" t="str">
        <f>+VLOOKUP($L544,Data_Validation!$A:$D,1,0)</f>
        <v>92C</v>
      </c>
      <c r="U544" s="152" t="str">
        <f>+VLOOKUP($L544,Data_Validation!$A:$D,3,0)</f>
        <v>Véhicules usagés</v>
      </c>
      <c r="V544" s="152" t="str">
        <f>+VLOOKUP($L544,Data_Validation!$A:$D,4,0)</f>
        <v>Location équipement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1611</v>
      </c>
      <c r="B545" s="718" t="s">
        <v>775</v>
      </c>
      <c r="C545" s="719">
        <v>340.37</v>
      </c>
      <c r="D545" s="719">
        <v>43.49</v>
      </c>
      <c r="E545" s="719">
        <v>383.86</v>
      </c>
      <c r="F545" s="718" t="s">
        <v>2229</v>
      </c>
      <c r="G545" s="718" t="s">
        <v>2261</v>
      </c>
      <c r="H545" s="719" t="s">
        <v>2971</v>
      </c>
      <c r="I545" s="720"/>
      <c r="J545" s="720"/>
      <c r="K545" s="720"/>
      <c r="L545" s="149" t="str">
        <f t="shared" si="40"/>
        <v>92E</v>
      </c>
      <c r="M545" s="150" t="str">
        <f t="shared" si="41"/>
        <v>LOCATION EQUIP. - SERV. BMW</v>
      </c>
      <c r="N545" s="151">
        <f>+IF(OR($Q545=Parametres!$G$2,$Q545=Parametres!$G$3),I545,C545)</f>
        <v>340.37</v>
      </c>
      <c r="O545" s="504">
        <f>+IF(OR($Q545=Parametres!$G$2,$Q545=Parametres!$G$3),J545,D545)</f>
        <v>43.49</v>
      </c>
      <c r="P545" s="151">
        <f>+IF(OR($Q545=Parametres!$G$2,$Q545=Parametres!$G$3),K545,E545)</f>
        <v>383.86</v>
      </c>
      <c r="Q545" s="150" t="str">
        <f t="shared" si="42"/>
        <v>7-Dépenses</v>
      </c>
      <c r="R545" s="149" t="str">
        <f t="shared" si="43"/>
        <v>92</v>
      </c>
      <c r="S545" s="150" t="str">
        <f t="shared" si="44"/>
        <v>_</v>
      </c>
      <c r="T545" s="152" t="str">
        <f>+VLOOKUP($L545,Data_Validation!$A:$D,1,0)</f>
        <v>92E</v>
      </c>
      <c r="U545" s="152" t="str">
        <f>+VLOOKUP($L545,Data_Validation!$A:$D,3,0)</f>
        <v>Service</v>
      </c>
      <c r="V545" s="152" t="str">
        <f>+VLOOKUP($L545,Data_Validation!$A:$D,4,0)</f>
        <v>Location équipement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1610</v>
      </c>
      <c r="B546" s="718" t="s">
        <v>774</v>
      </c>
      <c r="C546" s="719">
        <v>104.37</v>
      </c>
      <c r="D546" s="719">
        <v>34.79</v>
      </c>
      <c r="E546" s="719">
        <v>139.16</v>
      </c>
      <c r="F546" s="718" t="s">
        <v>2229</v>
      </c>
      <c r="G546" s="718" t="s">
        <v>2261</v>
      </c>
      <c r="H546" s="719" t="s">
        <v>2971</v>
      </c>
      <c r="I546" s="720"/>
      <c r="J546" s="720"/>
      <c r="K546" s="720"/>
      <c r="L546" s="149" t="str">
        <f t="shared" si="40"/>
        <v>92G</v>
      </c>
      <c r="M546" s="150" t="str">
        <f t="shared" si="41"/>
        <v>LOCATION EQUIP. - PIECE BMW</v>
      </c>
      <c r="N546" s="151">
        <f>+IF(OR($Q546=Parametres!$G$2,$Q546=Parametres!$G$3),I546,C546)</f>
        <v>104.37</v>
      </c>
      <c r="O546" s="504">
        <f>+IF(OR($Q546=Parametres!$G$2,$Q546=Parametres!$G$3),J546,D546)</f>
        <v>34.79</v>
      </c>
      <c r="P546" s="151">
        <f>+IF(OR($Q546=Parametres!$G$2,$Q546=Parametres!$G$3),K546,E546)</f>
        <v>139.16</v>
      </c>
      <c r="Q546" s="150" t="str">
        <f t="shared" si="42"/>
        <v>7-Dépenses</v>
      </c>
      <c r="R546" s="149" t="str">
        <f t="shared" si="43"/>
        <v>92</v>
      </c>
      <c r="S546" s="150" t="str">
        <f t="shared" si="44"/>
        <v>_</v>
      </c>
      <c r="T546" s="152" t="str">
        <f>+VLOOKUP($L546,Data_Validation!$A:$D,1,0)</f>
        <v>92G</v>
      </c>
      <c r="U546" s="152" t="str">
        <f>+VLOOKUP($L546,Data_Validation!$A:$D,3,0)</f>
        <v>pièces</v>
      </c>
      <c r="V546" s="152" t="str">
        <f>+VLOOKUP($L546,Data_Validation!$A:$D,4,0)</f>
        <v>Location équipement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2428</v>
      </c>
      <c r="B547" s="718" t="s">
        <v>2430</v>
      </c>
      <c r="C547" s="719">
        <v>0</v>
      </c>
      <c r="D547" s="719">
        <v>48042.559999999998</v>
      </c>
      <c r="E547" s="719">
        <v>48042.559999999998</v>
      </c>
      <c r="F547" s="718" t="s">
        <v>2229</v>
      </c>
      <c r="G547" s="718" t="s">
        <v>2430</v>
      </c>
      <c r="H547" s="719" t="s">
        <v>2971</v>
      </c>
      <c r="I547" s="720"/>
      <c r="J547" s="720"/>
      <c r="K547" s="720"/>
      <c r="L547" s="149" t="str">
        <f t="shared" si="40"/>
        <v>99</v>
      </c>
      <c r="M547" s="150" t="str">
        <f t="shared" si="41"/>
        <v>IMPOTS SUR LE REVENU</v>
      </c>
      <c r="N547" s="151">
        <f>+IF(OR($Q547=Parametres!$G$2,$Q547=Parametres!$G$3),I547,C547)</f>
        <v>0</v>
      </c>
      <c r="O547" s="504">
        <f>+IF(OR($Q547=Parametres!$G$2,$Q547=Parametres!$G$3),J547,D547)</f>
        <v>48042.559999999998</v>
      </c>
      <c r="P547" s="151">
        <f>+IF(OR($Q547=Parametres!$G$2,$Q547=Parametres!$G$3),K547,E547)</f>
        <v>48042.559999999998</v>
      </c>
      <c r="Q547" s="150" t="str">
        <f t="shared" si="42"/>
        <v>7-Dépenses</v>
      </c>
      <c r="R547" s="149" t="str">
        <f t="shared" si="43"/>
        <v>99</v>
      </c>
      <c r="S547" s="150" t="str">
        <f t="shared" si="44"/>
        <v>_</v>
      </c>
      <c r="T547" s="152" t="str">
        <f>+VLOOKUP($L547,Data_Validation!$A:$D,1,0)</f>
        <v>99</v>
      </c>
      <c r="U547" s="152" t="str">
        <f>+VLOOKUP($L547,Data_Validation!$A:$D,3,0)</f>
        <v>TOTAL  DES  REVENUS  ET  DÉPENSES</v>
      </c>
      <c r="V547" s="152" t="str">
        <f>+VLOOKUP($L547,Data_Validation!$A:$D,4,0)</f>
        <v>Impôt exigible</v>
      </c>
      <c r="W547" s="152">
        <f>+VLOOKUP($L547,Data_Validation!$A:$E,5,0)</f>
        <v>0</v>
      </c>
      <c r="X547" s="152">
        <f>+VLOOKUP($L547,Data_Validation!$A:$F,6,0)</f>
        <v>0</v>
      </c>
    </row>
    <row r="548" spans="1:24" ht="15" customHeight="1">
      <c r="A548" s="718" t="s">
        <v>1478</v>
      </c>
      <c r="B548" s="718" t="s">
        <v>1479</v>
      </c>
      <c r="C548" s="719">
        <v>-47.33</v>
      </c>
      <c r="D548" s="719">
        <v>0</v>
      </c>
      <c r="E548" s="719">
        <v>-47.33</v>
      </c>
      <c r="F548" s="718" t="s">
        <v>2230</v>
      </c>
      <c r="G548" s="718" t="s">
        <v>1479</v>
      </c>
      <c r="H548" s="719" t="s">
        <v>2971</v>
      </c>
      <c r="I548" s="720"/>
      <c r="J548" s="720"/>
      <c r="K548" s="720"/>
      <c r="L548" s="149" t="str">
        <f t="shared" si="40"/>
        <v>801</v>
      </c>
      <c r="M548" s="150" t="str">
        <f t="shared" si="41"/>
        <v>INTERETS GAGNES</v>
      </c>
      <c r="N548" s="151">
        <f>+IF(OR($Q548=Parametres!$G$2,$Q548=Parametres!$G$3),I548,C548)</f>
        <v>-47.33</v>
      </c>
      <c r="O548" s="151">
        <f>+IF(OR($Q548=Parametres!$G$2,$Q548=Parametres!$G$3),J548,D548)</f>
        <v>0</v>
      </c>
      <c r="P548" s="151">
        <f>+IF(OR($Q548=Parametres!$G$2,$Q548=Parametres!$G$3),K548,E548)</f>
        <v>-47.33</v>
      </c>
      <c r="Q548" s="150" t="str">
        <f t="shared" si="42"/>
        <v>8-Autres revenus</v>
      </c>
      <c r="R548" s="149" t="str">
        <f t="shared" si="43"/>
        <v>801</v>
      </c>
      <c r="S548" s="150" t="str">
        <f t="shared" si="44"/>
        <v>_</v>
      </c>
      <c r="T548" s="152" t="str">
        <f>+VLOOKUP($L548,Data_Validation!$A:$D,1,0)</f>
        <v>801</v>
      </c>
      <c r="U548" s="152" t="str">
        <f>+VLOOKUP($L548,Data_Validation!$A:$D,3,0)</f>
        <v>TOTAL  DES  REVENUS  ET  DÉPENSES</v>
      </c>
      <c r="V548" s="152" t="str">
        <f>+VLOOKUP($L548,Data_Validation!$A:$D,4,0)</f>
        <v>Revenus autres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138</v>
      </c>
      <c r="B549" s="718" t="s">
        <v>430</v>
      </c>
      <c r="C549" s="719">
        <v>-4766.96</v>
      </c>
      <c r="D549" s="719">
        <v>3.14</v>
      </c>
      <c r="E549" s="719">
        <v>-4763.82</v>
      </c>
      <c r="F549" s="718" t="s">
        <v>2230</v>
      </c>
      <c r="G549" s="718" t="s">
        <v>430</v>
      </c>
      <c r="H549" s="719" t="s">
        <v>2971</v>
      </c>
      <c r="I549" s="720"/>
      <c r="J549" s="720"/>
      <c r="K549" s="720"/>
      <c r="L549" s="149" t="str">
        <f t="shared" si="40"/>
        <v>805</v>
      </c>
      <c r="M549" s="150" t="str">
        <f t="shared" si="41"/>
        <v>AUTRES REVENUS</v>
      </c>
      <c r="N549" s="151">
        <f>+IF(OR($Q549=Parametres!$G$2,$Q549=Parametres!$G$3),I549,C549)</f>
        <v>-4766.96</v>
      </c>
      <c r="O549" s="504">
        <f>+IF(OR($Q549=Parametres!$G$2,$Q549=Parametres!$G$3),J549,D549)</f>
        <v>3.14</v>
      </c>
      <c r="P549" s="151">
        <f>+IF(OR($Q549=Parametres!$G$2,$Q549=Parametres!$G$3),K549,E549)</f>
        <v>-4763.82</v>
      </c>
      <c r="Q549" s="150" t="str">
        <f t="shared" si="42"/>
        <v>8-Autres revenus</v>
      </c>
      <c r="R549" s="149" t="str">
        <f t="shared" si="43"/>
        <v>805</v>
      </c>
      <c r="S549" s="150" t="str">
        <f t="shared" si="44"/>
        <v>_</v>
      </c>
      <c r="T549" s="152" t="str">
        <f>+VLOOKUP($L549,Data_Validation!$A:$D,1,0)</f>
        <v>805</v>
      </c>
      <c r="U549" s="152" t="str">
        <f>+VLOOKUP($L549,Data_Validation!$A:$D,3,0)</f>
        <v>TOTAL  DES  REVENUS  ET  DÉPENSES</v>
      </c>
      <c r="V549" s="152" t="str">
        <f>+VLOOKUP($L549,Data_Validation!$A:$D,4,0)</f>
        <v>Revenus autres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1123</v>
      </c>
      <c r="B550" s="718" t="s">
        <v>440</v>
      </c>
      <c r="C550" s="719">
        <v>-29750</v>
      </c>
      <c r="D550" s="719">
        <v>-17255</v>
      </c>
      <c r="E550" s="719">
        <v>-47005</v>
      </c>
      <c r="F550" s="718" t="s">
        <v>2230</v>
      </c>
      <c r="G550" s="718" t="s">
        <v>2300</v>
      </c>
      <c r="H550" s="719" t="s">
        <v>2971</v>
      </c>
      <c r="I550" s="720"/>
      <c r="J550" s="720"/>
      <c r="K550" s="720"/>
      <c r="L550" s="149" t="str">
        <f t="shared" si="40"/>
        <v>806A</v>
      </c>
      <c r="M550" s="150" t="str">
        <f t="shared" si="41"/>
        <v>FRAIS D'ADMINISTRATION NEUF</v>
      </c>
      <c r="N550" s="151">
        <f>+IF(OR($Q550=Parametres!$G$2,$Q550=Parametres!$G$3),I550,C550)</f>
        <v>-29750</v>
      </c>
      <c r="O550" s="504">
        <f>+IF(OR($Q550=Parametres!$G$2,$Q550=Parametres!$G$3),J550,D550)</f>
        <v>-17255</v>
      </c>
      <c r="P550" s="151">
        <f>+IF(OR($Q550=Parametres!$G$2,$Q550=Parametres!$G$3),K550,E550)</f>
        <v>-47005</v>
      </c>
      <c r="Q550" s="150" t="str">
        <f t="shared" si="42"/>
        <v>8-Autres revenus</v>
      </c>
      <c r="R550" s="149" t="str">
        <f t="shared" si="43"/>
        <v>806</v>
      </c>
      <c r="S550" s="150" t="str">
        <f t="shared" si="44"/>
        <v>_</v>
      </c>
      <c r="T550" s="152" t="str">
        <f>+VLOOKUP($L550,Data_Validation!$A:$D,1,0)</f>
        <v>806A</v>
      </c>
      <c r="U550" s="152" t="str">
        <f>+VLOOKUP($L550,Data_Validation!$A:$D,3,0)</f>
        <v>Véhicules neufs</v>
      </c>
      <c r="V550" s="152" t="str">
        <f>+VLOOKUP($L550,Data_Validation!$A:$D,4,0)</f>
        <v>Frais administration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1144</v>
      </c>
      <c r="B551" s="718" t="s">
        <v>447</v>
      </c>
      <c r="C551" s="719">
        <v>-20230</v>
      </c>
      <c r="D551" s="719">
        <v>-12495</v>
      </c>
      <c r="E551" s="719">
        <v>-32725</v>
      </c>
      <c r="F551" s="718" t="s">
        <v>2230</v>
      </c>
      <c r="G551" s="718" t="s">
        <v>2300</v>
      </c>
      <c r="H551" s="719" t="s">
        <v>2971</v>
      </c>
      <c r="I551" s="720"/>
      <c r="J551" s="720"/>
      <c r="K551" s="720"/>
      <c r="L551" s="149" t="str">
        <f t="shared" si="40"/>
        <v>806C</v>
      </c>
      <c r="M551" s="150" t="str">
        <f t="shared" si="41"/>
        <v>FRAIS ADMINISTRATION USAGE</v>
      </c>
      <c r="N551" s="151">
        <f>+IF(OR($Q551=Parametres!$G$2,$Q551=Parametres!$G$3),I551,C551)</f>
        <v>-20230</v>
      </c>
      <c r="O551" s="151">
        <f>+IF(OR($Q551=Parametres!$G$2,$Q551=Parametres!$G$3),J551,D551)</f>
        <v>-12495</v>
      </c>
      <c r="P551" s="151">
        <f>+IF(OR($Q551=Parametres!$G$2,$Q551=Parametres!$G$3),K551,E551)</f>
        <v>-32725</v>
      </c>
      <c r="Q551" s="150" t="str">
        <f t="shared" si="42"/>
        <v>8-Autres revenus</v>
      </c>
      <c r="R551" s="149" t="str">
        <f t="shared" si="43"/>
        <v>806</v>
      </c>
      <c r="S551" s="150" t="str">
        <f t="shared" si="44"/>
        <v>_</v>
      </c>
      <c r="T551" s="152" t="str">
        <f>+VLOOKUP($L551,Data_Validation!$A:$D,1,0)</f>
        <v>806C</v>
      </c>
      <c r="U551" s="152" t="str">
        <f>+VLOOKUP($L551,Data_Validation!$A:$D,3,0)</f>
        <v>Véhicules usagés</v>
      </c>
      <c r="V551" s="152" t="str">
        <f>+VLOOKUP($L551,Data_Validation!$A:$D,4,0)</f>
        <v>Frais administration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1106</v>
      </c>
      <c r="B552" s="718" t="s">
        <v>433</v>
      </c>
      <c r="C552" s="719">
        <v>-63955.01</v>
      </c>
      <c r="D552" s="719">
        <v>-25984.97</v>
      </c>
      <c r="E552" s="719">
        <v>-89939.98</v>
      </c>
      <c r="F552" s="718" t="s">
        <v>2230</v>
      </c>
      <c r="G552" s="718" t="s">
        <v>2299</v>
      </c>
      <c r="H552" s="719" t="s">
        <v>2971</v>
      </c>
      <c r="I552" s="720"/>
      <c r="J552" s="720"/>
      <c r="K552" s="720"/>
      <c r="L552" s="149" t="str">
        <f t="shared" si="40"/>
        <v>814A</v>
      </c>
      <c r="M552" s="150" t="str">
        <f t="shared" si="41"/>
        <v>MSP - BMW</v>
      </c>
      <c r="N552" s="151">
        <f>+IF(OR($Q552=Parametres!$G$2,$Q552=Parametres!$G$3),I552,C552)</f>
        <v>-63955.01</v>
      </c>
      <c r="O552" s="504">
        <f>+IF(OR($Q552=Parametres!$G$2,$Q552=Parametres!$G$3),J552,D552)</f>
        <v>-25984.97</v>
      </c>
      <c r="P552" s="151">
        <f>+IF(OR($Q552=Parametres!$G$2,$Q552=Parametres!$G$3),K552,E552)</f>
        <v>-89939.98</v>
      </c>
      <c r="Q552" s="150" t="str">
        <f t="shared" si="42"/>
        <v>8-Autres revenus</v>
      </c>
      <c r="R552" s="149" t="str">
        <f t="shared" si="43"/>
        <v>814</v>
      </c>
      <c r="S552" s="150" t="str">
        <f t="shared" si="44"/>
        <v>_</v>
      </c>
      <c r="T552" s="152" t="str">
        <f>+VLOOKUP($L552,Data_Validation!$A:$D,1,0)</f>
        <v>814A</v>
      </c>
      <c r="U552" s="152" t="str">
        <f>+VLOOKUP($L552,Data_Validation!$A:$D,3,0)</f>
        <v>TOTAL  DES  REVENUS  ET  DÉPENSES</v>
      </c>
      <c r="V552" s="152" t="str">
        <f>+VLOOKUP($L552,Data_Validation!$A:$D,4,0)</f>
        <v>Facility Fund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1098</v>
      </c>
      <c r="B553" s="718" t="s">
        <v>428</v>
      </c>
      <c r="C553" s="719">
        <v>-116761.79</v>
      </c>
      <c r="D553" s="719">
        <v>-43701.85</v>
      </c>
      <c r="E553" s="719">
        <v>-160463.64000000001</v>
      </c>
      <c r="F553" s="718" t="s">
        <v>2230</v>
      </c>
      <c r="G553" s="718" t="s">
        <v>428</v>
      </c>
      <c r="H553" s="719" t="s">
        <v>2971</v>
      </c>
      <c r="I553" s="720"/>
      <c r="J553" s="720"/>
      <c r="K553" s="720"/>
      <c r="L553" s="149" t="str">
        <f t="shared" si="40"/>
        <v>815</v>
      </c>
      <c r="M553" s="150" t="str">
        <f t="shared" si="41"/>
        <v>REVENU RBSC BMW</v>
      </c>
      <c r="N553" s="151">
        <f>+IF(OR($Q553=Parametres!$G$2,$Q553=Parametres!$G$3),I553,C553)</f>
        <v>-116761.79</v>
      </c>
      <c r="O553" s="504">
        <f>+IF(OR($Q553=Parametres!$G$2,$Q553=Parametres!$G$3),J553,D553)</f>
        <v>-43701.85</v>
      </c>
      <c r="P553" s="151">
        <f>+IF(OR($Q553=Parametres!$G$2,$Q553=Parametres!$G$3),K553,E553)</f>
        <v>-160463.64000000001</v>
      </c>
      <c r="Q553" s="150" t="str">
        <f t="shared" si="42"/>
        <v>8-Autres revenus</v>
      </c>
      <c r="R553" s="149" t="str">
        <f t="shared" si="43"/>
        <v>815</v>
      </c>
      <c r="S553" s="150" t="str">
        <f t="shared" si="44"/>
        <v>_</v>
      </c>
      <c r="T553" s="152" t="str">
        <f>+VLOOKUP($L553,Data_Validation!$A:$D,1,0)</f>
        <v>815</v>
      </c>
      <c r="U553" s="152" t="str">
        <f>+VLOOKUP($L553,Data_Validation!$A:$D,3,0)</f>
        <v>Véhicules neufs</v>
      </c>
      <c r="V553" s="152" t="str">
        <f>+VLOOKUP($L553,Data_Validation!$A:$D,4,0)</f>
        <v>RBSC NEUF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438</v>
      </c>
      <c r="B554" s="718" t="s">
        <v>439</v>
      </c>
      <c r="C554" s="719">
        <v>-2500</v>
      </c>
      <c r="D554" s="719">
        <v>-3000</v>
      </c>
      <c r="E554" s="719">
        <v>-5500</v>
      </c>
      <c r="F554" s="718" t="s">
        <v>2230</v>
      </c>
      <c r="G554" s="718" t="s">
        <v>428</v>
      </c>
      <c r="H554" s="719" t="s">
        <v>2971</v>
      </c>
      <c r="I554" s="720"/>
      <c r="J554" s="720"/>
      <c r="K554" s="720"/>
      <c r="L554" s="149" t="str">
        <f t="shared" si="40"/>
        <v>815C</v>
      </c>
      <c r="M554" s="150" t="str">
        <f t="shared" si="41"/>
        <v>REVENU RBSC BMW USAGE</v>
      </c>
      <c r="N554" s="151">
        <f>+IF(OR($Q554=Parametres!$G$2,$Q554=Parametres!$G$3),I554,C554)</f>
        <v>-2500</v>
      </c>
      <c r="O554" s="504">
        <f>+IF(OR($Q554=Parametres!$G$2,$Q554=Parametres!$G$3),J554,D554)</f>
        <v>-3000</v>
      </c>
      <c r="P554" s="151">
        <f>+IF(OR($Q554=Parametres!$G$2,$Q554=Parametres!$G$3),K554,E554)</f>
        <v>-5500</v>
      </c>
      <c r="Q554" s="150" t="str">
        <f t="shared" si="42"/>
        <v>8-Autres revenus</v>
      </c>
      <c r="R554" s="149" t="str">
        <f t="shared" si="43"/>
        <v>815</v>
      </c>
      <c r="S554" s="150" t="str">
        <f t="shared" si="44"/>
        <v>_</v>
      </c>
      <c r="T554" s="152" t="str">
        <f>+VLOOKUP($L554,Data_Validation!$A:$D,1,0)</f>
        <v>815C</v>
      </c>
      <c r="U554" s="152" t="str">
        <f>+VLOOKUP($L554,Data_Validation!$A:$D,3,0)</f>
        <v>Véhicules usagés</v>
      </c>
      <c r="V554" s="152" t="str">
        <f>+VLOOKUP($L554,Data_Validation!$A:$D,4,0)</f>
        <v>RBSC used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413</v>
      </c>
      <c r="B555" s="718" t="s">
        <v>414</v>
      </c>
      <c r="C555" s="719">
        <v>-2825</v>
      </c>
      <c r="D555" s="719">
        <v>2050</v>
      </c>
      <c r="E555" s="719">
        <v>-775</v>
      </c>
      <c r="F555" s="718" t="s">
        <v>2301</v>
      </c>
      <c r="G555" s="718" t="s">
        <v>414</v>
      </c>
      <c r="H555" s="719" t="s">
        <v>2971</v>
      </c>
      <c r="I555" s="720"/>
      <c r="J555" s="720"/>
      <c r="K555" s="720"/>
      <c r="L555" s="149" t="str">
        <f t="shared" si="40"/>
        <v>817</v>
      </c>
      <c r="M555" s="150" t="str">
        <f t="shared" si="41"/>
        <v>REVENU PERFORMANCE 360</v>
      </c>
      <c r="N555" s="151">
        <f>+IF(OR($Q555=Parametres!$G$2,$Q555=Parametres!$G$3),I555,C555)</f>
        <v>-2825</v>
      </c>
      <c r="O555" s="505">
        <f>+IF(OR($Q555=Parametres!$G$2,$Q555=Parametres!$G$3),J555,D555)</f>
        <v>2050</v>
      </c>
      <c r="P555" s="151">
        <f>+IF(OR($Q555=Parametres!$G$2,$Q555=Parametres!$G$3),K555,E555)</f>
        <v>-775</v>
      </c>
      <c r="Q555" s="150" t="str">
        <f t="shared" si="42"/>
        <v>9-Autres déductions</v>
      </c>
      <c r="R555" s="149" t="str">
        <f t="shared" si="43"/>
        <v>817</v>
      </c>
      <c r="S555" s="150" t="str">
        <f t="shared" si="44"/>
        <v>_</v>
      </c>
      <c r="T555" s="152" t="str">
        <f>+VLOOKUP($L555,Data_Validation!$A:$D,1,0)</f>
        <v>817</v>
      </c>
      <c r="U555" s="152" t="str">
        <f>+VLOOKUP($L555,Data_Validation!$A:$D,3,0)</f>
        <v>Véhicules usagés</v>
      </c>
      <c r="V555" s="152" t="str">
        <f>+VLOOKUP($L555,Data_Validation!$A:$D,4,0)</f>
        <v>Programme 360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1482</v>
      </c>
      <c r="B556" s="718" t="s">
        <v>688</v>
      </c>
      <c r="C556" s="720"/>
      <c r="D556" s="720"/>
      <c r="E556" s="720"/>
      <c r="F556" s="718" t="s">
        <v>4</v>
      </c>
      <c r="G556" s="718" t="s">
        <v>352</v>
      </c>
      <c r="H556" s="673" t="s">
        <v>2971</v>
      </c>
      <c r="I556" s="672">
        <v>16</v>
      </c>
      <c r="J556" s="672">
        <v>1</v>
      </c>
      <c r="K556" s="672">
        <v>17</v>
      </c>
      <c r="L556" s="149" t="str">
        <f t="shared" si="40"/>
        <v>230@</v>
      </c>
      <c r="M556" s="150" t="str">
        <f t="shared" si="41"/>
        <v># DE VOITURES NEUVES BMW</v>
      </c>
      <c r="N556" s="151">
        <f>+IF(OR($Q556=Parametres!$G$2,$Q556=Parametres!$G$3),I556,C556)</f>
        <v>16</v>
      </c>
      <c r="O556" s="151">
        <f>+IF(OR($Q556=Parametres!$G$2,$Q556=Parametres!$G$3),J556,D556)</f>
        <v>1</v>
      </c>
      <c r="P556" s="151">
        <f>+IF(OR($Q556=Parametres!$G$2,$Q556=Parametres!$G$3),K556,E556)</f>
        <v>17</v>
      </c>
      <c r="Q556" s="150" t="str">
        <f t="shared" si="42"/>
        <v>10-Compte compteur</v>
      </c>
      <c r="R556" s="149" t="str">
        <f t="shared" si="43"/>
        <v>230</v>
      </c>
      <c r="S556" s="150" t="str">
        <f t="shared" si="44"/>
        <v>_</v>
      </c>
      <c r="T556" s="152" t="str">
        <f>+VLOOKUP($L556,Data_Validation!$A:$D,1,0)</f>
        <v>230@</v>
      </c>
      <c r="U556" s="152" t="str">
        <f>+VLOOKUP($L556,Data_Validation!$A:$D,3,0)</f>
        <v>Autres</v>
      </c>
      <c r="V556" s="152">
        <f>+VLOOKUP($L556,Data_Validation!$A:$D,4,0)</f>
        <v>0</v>
      </c>
      <c r="W556" s="152">
        <f>+VLOOKUP($L556,Data_Validation!$A:$E,5,0)</f>
        <v>0</v>
      </c>
      <c r="X556" s="152">
        <f>+VLOOKUP($L556,Data_Validation!$A:$F,6,0)</f>
        <v>0</v>
      </c>
    </row>
    <row r="557" spans="1:24" ht="15" customHeight="1">
      <c r="A557" s="718" t="s">
        <v>1483</v>
      </c>
      <c r="B557" s="718" t="s">
        <v>689</v>
      </c>
      <c r="C557" s="719"/>
      <c r="D557" s="719"/>
      <c r="E557" s="719"/>
      <c r="F557" s="718" t="s">
        <v>4</v>
      </c>
      <c r="G557" s="718" t="s">
        <v>382</v>
      </c>
      <c r="H557" s="719" t="s">
        <v>2971</v>
      </c>
      <c r="I557" s="720">
        <v>40</v>
      </c>
      <c r="J557" s="720">
        <v>7</v>
      </c>
      <c r="K557" s="720">
        <v>47</v>
      </c>
      <c r="L557" s="149" t="str">
        <f t="shared" si="40"/>
        <v>232@</v>
      </c>
      <c r="M557" s="150" t="str">
        <f t="shared" si="41"/>
        <v># DE CAMIONS NEUFS BMW</v>
      </c>
      <c r="N557" s="151">
        <f>+IF(OR($Q557=Parametres!$G$2,$Q557=Parametres!$G$3),I557,C557)</f>
        <v>40</v>
      </c>
      <c r="O557" s="151">
        <f>+IF(OR($Q557=Parametres!$G$2,$Q557=Parametres!$G$3),J557,D557)</f>
        <v>7</v>
      </c>
      <c r="P557" s="151">
        <f>+IF(OR($Q557=Parametres!$G$2,$Q557=Parametres!$G$3),K557,E557)</f>
        <v>47</v>
      </c>
      <c r="Q557" s="150" t="str">
        <f t="shared" si="42"/>
        <v>10-Compte compteur</v>
      </c>
      <c r="R557" s="149" t="str">
        <f t="shared" si="43"/>
        <v>232</v>
      </c>
      <c r="S557" s="150" t="str">
        <f t="shared" si="44"/>
        <v>_</v>
      </c>
      <c r="T557" s="152" t="str">
        <f>+VLOOKUP($L557,Data_Validation!$A:$D,1,0)</f>
        <v>232@</v>
      </c>
      <c r="U557" s="152" t="str">
        <f>+VLOOKUP($L557,Data_Validation!$A:$D,3,0)</f>
        <v>Autres</v>
      </c>
      <c r="V557" s="152">
        <f>+VLOOKUP($L557,Data_Validation!$A:$D,4,0)</f>
        <v>0</v>
      </c>
      <c r="W557" s="152">
        <f>+VLOOKUP($L557,Data_Validation!$A:$E,5,0)</f>
        <v>0</v>
      </c>
      <c r="X557" s="152">
        <f>+VLOOKUP($L557,Data_Validation!$A:$F,6,0)</f>
        <v>0</v>
      </c>
    </row>
    <row r="558" spans="1:24" ht="15" customHeight="1">
      <c r="A558" s="718" t="s">
        <v>1875</v>
      </c>
      <c r="B558" s="718" t="s">
        <v>1001</v>
      </c>
      <c r="C558" s="720"/>
      <c r="D558" s="720"/>
      <c r="E558" s="720"/>
      <c r="F558" s="718" t="s">
        <v>4</v>
      </c>
      <c r="G558" s="718" t="s">
        <v>353</v>
      </c>
      <c r="H558" s="673" t="s">
        <v>2971</v>
      </c>
      <c r="I558" s="672">
        <v>16</v>
      </c>
      <c r="J558" s="672">
        <v>2</v>
      </c>
      <c r="K558" s="672">
        <v>18</v>
      </c>
      <c r="L558" s="149" t="str">
        <f t="shared" si="40"/>
        <v>234@</v>
      </c>
      <c r="M558" s="150" t="str">
        <f t="shared" si="41"/>
        <v># OF INVENTAIRE VEHICULES I</v>
      </c>
      <c r="N558" s="151">
        <f>+IF(OR($Q558=Parametres!$G$2,$Q558=Parametres!$G$3),I558,C558)</f>
        <v>16</v>
      </c>
      <c r="O558" s="151">
        <f>+IF(OR($Q558=Parametres!$G$2,$Q558=Parametres!$G$3),J558,D558)</f>
        <v>2</v>
      </c>
      <c r="P558" s="151">
        <f>+IF(OR($Q558=Parametres!$G$2,$Q558=Parametres!$G$3),K558,E558)</f>
        <v>18</v>
      </c>
      <c r="Q558" s="150" t="str">
        <f t="shared" si="42"/>
        <v>10-Compte compteur</v>
      </c>
      <c r="R558" s="149" t="str">
        <f t="shared" si="43"/>
        <v>234</v>
      </c>
      <c r="S558" s="150" t="str">
        <f t="shared" si="44"/>
        <v>_</v>
      </c>
      <c r="T558" s="152" t="str">
        <f>+VLOOKUP($L558,Data_Validation!$A:$D,1,0)</f>
        <v>234@</v>
      </c>
      <c r="U558" s="152" t="str">
        <f>+VLOOKUP($L558,Data_Validation!$A:$D,3,0)</f>
        <v>Autres</v>
      </c>
      <c r="V558" s="152">
        <f>+VLOOKUP($L558,Data_Validation!$A:$D,4,0)</f>
        <v>0</v>
      </c>
      <c r="W558" s="152">
        <f>+VLOOKUP($L558,Data_Validation!$A:$E,5,0)</f>
        <v>0</v>
      </c>
      <c r="X558" s="152">
        <f>+VLOOKUP($L558,Data_Validation!$A:$F,6,0)</f>
        <v>0</v>
      </c>
    </row>
    <row r="559" spans="1:24" ht="15.75" customHeight="1">
      <c r="A559" s="718" t="s">
        <v>1484</v>
      </c>
      <c r="B559" s="718" t="s">
        <v>690</v>
      </c>
      <c r="C559" s="720"/>
      <c r="D559" s="720"/>
      <c r="E559" s="720"/>
      <c r="F559" s="718" t="s">
        <v>4</v>
      </c>
      <c r="G559" s="718" t="s">
        <v>408</v>
      </c>
      <c r="H559" s="673" t="s">
        <v>2971</v>
      </c>
      <c r="I559" s="672">
        <v>13</v>
      </c>
      <c r="J559" s="672">
        <v>0</v>
      </c>
      <c r="K559" s="672">
        <v>13</v>
      </c>
      <c r="L559" s="149" t="str">
        <f t="shared" si="40"/>
        <v>240A@</v>
      </c>
      <c r="M559" s="150" t="str">
        <f t="shared" si="41"/>
        <v># DE VOITURES USAGEES BMW</v>
      </c>
      <c r="N559" s="151">
        <f>+IF(OR($Q559=Parametres!$G$2,$Q559=Parametres!$G$3),I559,C559)</f>
        <v>13</v>
      </c>
      <c r="O559" s="151">
        <f>+IF(OR($Q559=Parametres!$G$2,$Q559=Parametres!$G$3),J559,D559)</f>
        <v>0</v>
      </c>
      <c r="P559" s="151">
        <f>+IF(OR($Q559=Parametres!$G$2,$Q559=Parametres!$G$3),K559,E559)</f>
        <v>13</v>
      </c>
      <c r="Q559" s="150" t="str">
        <f t="shared" si="42"/>
        <v>10-Compte compteur</v>
      </c>
      <c r="R559" s="149" t="str">
        <f t="shared" si="43"/>
        <v>240A</v>
      </c>
      <c r="S559" s="150" t="str">
        <f t="shared" si="44"/>
        <v>_</v>
      </c>
      <c r="T559" s="152" t="str">
        <f>+VLOOKUP($L559,Data_Validation!$A:$D,1,0)</f>
        <v>240A@</v>
      </c>
      <c r="U559" s="152" t="str">
        <f>+VLOOKUP($L559,Data_Validation!$A:$D,3,0)</f>
        <v>Autres</v>
      </c>
      <c r="V559" s="152">
        <f>+VLOOKUP($L559,Data_Validation!$A:$D,4,0)</f>
        <v>0</v>
      </c>
      <c r="W559" s="152">
        <f>+VLOOKUP($L559,Data_Validation!$A:$E,5,0)</f>
        <v>0</v>
      </c>
      <c r="X559" s="152">
        <f>+VLOOKUP($L559,Data_Validation!$A:$F,6,0)</f>
        <v>0</v>
      </c>
    </row>
    <row r="560" spans="1:24" ht="15" customHeight="1">
      <c r="A560" s="718" t="s">
        <v>1485</v>
      </c>
      <c r="B560" s="718" t="s">
        <v>691</v>
      </c>
      <c r="C560" s="719"/>
      <c r="D560" s="719"/>
      <c r="E560" s="719"/>
      <c r="F560" s="718" t="s">
        <v>4</v>
      </c>
      <c r="G560" s="718" t="s">
        <v>432</v>
      </c>
      <c r="H560" s="719" t="s">
        <v>2971</v>
      </c>
      <c r="I560" s="720">
        <v>24</v>
      </c>
      <c r="J560" s="720">
        <v>4</v>
      </c>
      <c r="K560" s="720">
        <v>28</v>
      </c>
      <c r="L560" s="149" t="str">
        <f t="shared" si="40"/>
        <v>240C@</v>
      </c>
      <c r="M560" s="150" t="str">
        <f t="shared" si="41"/>
        <v># DE VEHICULES USAGES AUTRES</v>
      </c>
      <c r="N560" s="151">
        <f>+IF(OR($Q560=Parametres!$G$2,$Q560=Parametres!$G$3),I560,C560)</f>
        <v>24</v>
      </c>
      <c r="O560" s="505">
        <f>+IF(OR($Q560=Parametres!$G$2,$Q560=Parametres!$G$3),J560,D560)</f>
        <v>4</v>
      </c>
      <c r="P560" s="151">
        <f>+IF(OR($Q560=Parametres!$G$2,$Q560=Parametres!$G$3),K560,E560)</f>
        <v>28</v>
      </c>
      <c r="Q560" s="150" t="str">
        <f t="shared" si="42"/>
        <v>10-Compte compteur</v>
      </c>
      <c r="R560" s="149" t="str">
        <f t="shared" si="43"/>
        <v>240C</v>
      </c>
      <c r="S560" s="150" t="str">
        <f t="shared" si="44"/>
        <v>_</v>
      </c>
      <c r="T560" s="152" t="str">
        <f>+VLOOKUP($L560,Data_Validation!$A:$D,1,0)</f>
        <v>240C@</v>
      </c>
      <c r="U560" s="152" t="str">
        <f>+VLOOKUP($L560,Data_Validation!$A:$D,3,0)</f>
        <v>Autres</v>
      </c>
      <c r="V560" s="152">
        <f>+VLOOKUP($L560,Data_Validation!$A:$D,4,0)</f>
        <v>0</v>
      </c>
      <c r="W560" s="152">
        <f>+VLOOKUP($L560,Data_Validation!$A:$E,5,0)</f>
        <v>0</v>
      </c>
      <c r="X560" s="152">
        <f>+VLOOKUP($L560,Data_Validation!$A:$F,6,0)</f>
        <v>0</v>
      </c>
    </row>
    <row r="561" spans="1:24" ht="15" customHeight="1">
      <c r="A561" s="718" t="s">
        <v>1486</v>
      </c>
      <c r="B561" s="718" t="s">
        <v>1035</v>
      </c>
      <c r="C561" s="719"/>
      <c r="D561" s="719"/>
      <c r="E561" s="719"/>
      <c r="F561" s="718" t="s">
        <v>4</v>
      </c>
      <c r="G561" s="718" t="s">
        <v>819</v>
      </c>
      <c r="H561" s="719" t="s">
        <v>2971</v>
      </c>
      <c r="I561" s="720">
        <v>6</v>
      </c>
      <c r="J561" s="720">
        <v>13</v>
      </c>
      <c r="K561" s="720">
        <v>19</v>
      </c>
      <c r="L561" s="149" t="str">
        <f t="shared" si="40"/>
        <v>242A@</v>
      </c>
      <c r="M561" s="150" t="str">
        <f t="shared" si="41"/>
        <v># DE CAMIONS USAGES BMW</v>
      </c>
      <c r="N561" s="151">
        <f>+IF(OR($Q561=Parametres!$G$2,$Q561=Parametres!$G$3),I561,C561)</f>
        <v>6</v>
      </c>
      <c r="O561" s="504">
        <f>+IF(OR($Q561=Parametres!$G$2,$Q561=Parametres!$G$3),J561,D561)</f>
        <v>13</v>
      </c>
      <c r="P561" s="151">
        <f>+IF(OR($Q561=Parametres!$G$2,$Q561=Parametres!$G$3),K561,E561)</f>
        <v>19</v>
      </c>
      <c r="Q561" s="150" t="str">
        <f t="shared" si="42"/>
        <v>10-Compte compteur</v>
      </c>
      <c r="R561" s="149" t="str">
        <f t="shared" si="43"/>
        <v>242A</v>
      </c>
      <c r="S561" s="150" t="str">
        <f t="shared" si="44"/>
        <v>_</v>
      </c>
      <c r="T561" s="152" t="str">
        <f>+VLOOKUP($L561,Data_Validation!$A:$D,1,0)</f>
        <v>242A@</v>
      </c>
      <c r="U561" s="152" t="str">
        <f>+VLOOKUP($L561,Data_Validation!$A:$D,3,0)</f>
        <v>Autres</v>
      </c>
      <c r="V561" s="152">
        <f>+VLOOKUP($L561,Data_Validation!$A:$D,4,0)</f>
        <v>0</v>
      </c>
      <c r="W561" s="152">
        <f>+VLOOKUP($L561,Data_Validation!$A:$E,5,0)</f>
        <v>0</v>
      </c>
      <c r="X561" s="152">
        <f>+VLOOKUP($L561,Data_Validation!$A:$F,6,0)</f>
        <v>0</v>
      </c>
    </row>
    <row r="562" spans="1:24" ht="15" customHeight="1">
      <c r="A562" s="718" t="s">
        <v>2353</v>
      </c>
      <c r="B562" s="718" t="s">
        <v>2354</v>
      </c>
      <c r="C562" s="719"/>
      <c r="D562" s="719"/>
      <c r="E562" s="719"/>
      <c r="F562" s="718" t="s">
        <v>4</v>
      </c>
      <c r="G562" s="718" t="s">
        <v>2342</v>
      </c>
      <c r="H562" s="719" t="s">
        <v>2971</v>
      </c>
      <c r="I562" s="720">
        <v>-1</v>
      </c>
      <c r="J562" s="720">
        <v>-2</v>
      </c>
      <c r="K562" s="720">
        <v>-3</v>
      </c>
      <c r="L562" s="149" t="str">
        <f t="shared" si="40"/>
        <v>402B@</v>
      </c>
      <c r="M562" s="150" t="str">
        <f t="shared" si="41"/>
        <v># DE VTE - IX XDRIVE 50</v>
      </c>
      <c r="N562" s="151">
        <f>+IF(OR($Q562=Parametres!$G$2,$Q562=Parametres!$G$3),I562,C562)</f>
        <v>-1</v>
      </c>
      <c r="O562" s="151">
        <f>+IF(OR($Q562=Parametres!$G$2,$Q562=Parametres!$G$3),J562,D562)</f>
        <v>-2</v>
      </c>
      <c r="P562" s="151">
        <f>+IF(OR($Q562=Parametres!$G$2,$Q562=Parametres!$G$3),K562,E562)</f>
        <v>-3</v>
      </c>
      <c r="Q562" s="150" t="str">
        <f t="shared" si="42"/>
        <v>10-Compte compteur</v>
      </c>
      <c r="R562" s="149" t="str">
        <f t="shared" si="43"/>
        <v>402B</v>
      </c>
      <c r="S562" s="150" t="str">
        <f t="shared" si="44"/>
        <v>_</v>
      </c>
      <c r="T562" s="152" t="str">
        <f>+VLOOKUP($L562,Data_Validation!$A:$D,1,0)</f>
        <v>402B@</v>
      </c>
      <c r="U562" s="152" t="str">
        <f>+VLOOKUP($L562,Data_Validation!$A:$D,3,0)</f>
        <v>Véhicules neufs</v>
      </c>
      <c r="V562" s="152" t="str">
        <f>+VLOOKUP($L562,Data_Validation!$A:$D,4,0)</f>
        <v>Camions détail</v>
      </c>
      <c r="W562" s="152" t="str">
        <f>+VLOOKUP($L562,Data_Validation!$A:$E,5,0)</f>
        <v>NB</v>
      </c>
      <c r="X562" s="152">
        <f>+VLOOKUP($L562,Data_Validation!$A:$F,6,0)</f>
        <v>0</v>
      </c>
    </row>
    <row r="563" spans="1:24" ht="15.75" customHeight="1">
      <c r="A563" s="718" t="s">
        <v>2355</v>
      </c>
      <c r="B563" s="718" t="s">
        <v>2356</v>
      </c>
      <c r="C563" s="720"/>
      <c r="D563" s="720"/>
      <c r="E563" s="720"/>
      <c r="F563" s="718" t="s">
        <v>4</v>
      </c>
      <c r="G563" s="718" t="s">
        <v>2344</v>
      </c>
      <c r="H563" s="666" t="s">
        <v>2971</v>
      </c>
      <c r="I563" s="665">
        <v>-1</v>
      </c>
      <c r="J563" s="665">
        <v>-2</v>
      </c>
      <c r="K563" s="665">
        <v>-3</v>
      </c>
      <c r="L563" s="149" t="str">
        <f t="shared" si="40"/>
        <v>403I@</v>
      </c>
      <c r="M563" s="150" t="str">
        <f t="shared" si="41"/>
        <v># OF VTES -i4 M50i XDRIVE GRAN COUPE</v>
      </c>
      <c r="N563" s="151">
        <f>+IF(OR($Q563=Parametres!$G$2,$Q563=Parametres!$G$3),I563,C563)</f>
        <v>-1</v>
      </c>
      <c r="O563" s="151">
        <f>+IF(OR($Q563=Parametres!$G$2,$Q563=Parametres!$G$3),J563,D563)</f>
        <v>-2</v>
      </c>
      <c r="P563" s="151">
        <f>+IF(OR($Q563=Parametres!$G$2,$Q563=Parametres!$G$3),K563,E563)</f>
        <v>-3</v>
      </c>
      <c r="Q563" s="150" t="str">
        <f t="shared" si="42"/>
        <v>10-Compte compteur</v>
      </c>
      <c r="R563" s="149" t="str">
        <f t="shared" si="43"/>
        <v>403I</v>
      </c>
      <c r="S563" s="150" t="str">
        <f t="shared" si="44"/>
        <v>_</v>
      </c>
      <c r="T563" s="152" t="str">
        <f>+VLOOKUP($L563,Data_Validation!$A:$D,1,0)</f>
        <v>403I@</v>
      </c>
      <c r="U563" s="152" t="str">
        <f>+VLOOKUP($L563,Data_Validation!$A:$D,3,0)</f>
        <v>Véhicules neufs</v>
      </c>
      <c r="V563" s="152" t="str">
        <f>+VLOOKUP($L563,Data_Validation!$A:$D,4,0)</f>
        <v>Autos détail</v>
      </c>
      <c r="W563" s="152" t="str">
        <f>+VLOOKUP($L563,Data_Validation!$A:$E,5,0)</f>
        <v>NB</v>
      </c>
      <c r="X563" s="152">
        <f>+VLOOKUP($L563,Data_Validation!$A:$F,6,0)</f>
        <v>0</v>
      </c>
    </row>
    <row r="564" spans="1:24" ht="15" customHeight="1">
      <c r="A564" s="718" t="s">
        <v>2357</v>
      </c>
      <c r="B564" s="718" t="s">
        <v>2358</v>
      </c>
      <c r="C564" s="719"/>
      <c r="D564" s="719"/>
      <c r="E564" s="719"/>
      <c r="F564" s="718" t="s">
        <v>4</v>
      </c>
      <c r="G564" s="718" t="s">
        <v>2346</v>
      </c>
      <c r="H564" s="719" t="s">
        <v>2971</v>
      </c>
      <c r="I564" s="720">
        <v>-1</v>
      </c>
      <c r="J564" s="720">
        <v>0</v>
      </c>
      <c r="K564" s="720">
        <v>-1</v>
      </c>
      <c r="L564" s="149" t="str">
        <f t="shared" si="40"/>
        <v>404I@</v>
      </c>
      <c r="M564" s="150" t="str">
        <f t="shared" si="41"/>
        <v># OF VTES -i4 eDRIVE40 GRAN COUPE</v>
      </c>
      <c r="N564" s="151">
        <f>+IF(OR($Q564=Parametres!$G$2,$Q564=Parametres!$G$3),I564,C564)</f>
        <v>-1</v>
      </c>
      <c r="O564" s="505">
        <f>+IF(OR($Q564=Parametres!$G$2,$Q564=Parametres!$G$3),J564,D564)</f>
        <v>0</v>
      </c>
      <c r="P564" s="151">
        <f>+IF(OR($Q564=Parametres!$G$2,$Q564=Parametres!$G$3),K564,E564)</f>
        <v>-1</v>
      </c>
      <c r="Q564" s="150" t="str">
        <f t="shared" si="42"/>
        <v>10-Compte compteur</v>
      </c>
      <c r="R564" s="149" t="str">
        <f t="shared" si="43"/>
        <v>404I</v>
      </c>
      <c r="S564" s="150" t="str">
        <f t="shared" si="44"/>
        <v>_</v>
      </c>
      <c r="T564" s="152" t="str">
        <f>+VLOOKUP($L564,Data_Validation!$A:$D,1,0)</f>
        <v>404I@</v>
      </c>
      <c r="U564" s="152" t="str">
        <f>+VLOOKUP($L564,Data_Validation!$A:$D,3,0)</f>
        <v>Véhicules neufs</v>
      </c>
      <c r="V564" s="152" t="str">
        <f>+VLOOKUP($L564,Data_Validation!$A:$D,4,0)</f>
        <v>Autos détail</v>
      </c>
      <c r="W564" s="152" t="str">
        <f>+VLOOKUP($L564,Data_Validation!$A:$E,5,0)</f>
        <v>NB</v>
      </c>
      <c r="X564" s="152">
        <f>+VLOOKUP($L564,Data_Validation!$A:$F,6,0)</f>
        <v>0</v>
      </c>
    </row>
    <row r="565" spans="1:24" ht="15" customHeight="1">
      <c r="A565" s="718" t="s">
        <v>2909</v>
      </c>
      <c r="B565" s="718" t="s">
        <v>2910</v>
      </c>
      <c r="C565" s="720"/>
      <c r="D565" s="720"/>
      <c r="E565" s="720"/>
      <c r="F565" s="718" t="s">
        <v>4</v>
      </c>
      <c r="G565" s="718" t="s">
        <v>2906</v>
      </c>
      <c r="H565" s="673" t="s">
        <v>2971</v>
      </c>
      <c r="I565" s="672">
        <v>-1</v>
      </c>
      <c r="J565" s="672">
        <v>-1</v>
      </c>
      <c r="K565" s="672">
        <v>-2</v>
      </c>
      <c r="L565" s="149" t="str">
        <f t="shared" si="40"/>
        <v>404J@</v>
      </c>
      <c r="M565" s="150" t="str">
        <f t="shared" si="41"/>
        <v># DE VTE - i4 xDRIVE40</v>
      </c>
      <c r="N565" s="151">
        <f>+IF(OR($Q565=Parametres!$G$2,$Q565=Parametres!$G$3),I565,C565)</f>
        <v>-1</v>
      </c>
      <c r="O565" s="151">
        <f>+IF(OR($Q565=Parametres!$G$2,$Q565=Parametres!$G$3),J565,D565)</f>
        <v>-1</v>
      </c>
      <c r="P565" s="151">
        <f>+IF(OR($Q565=Parametres!$G$2,$Q565=Parametres!$G$3),K565,E565)</f>
        <v>-2</v>
      </c>
      <c r="Q565" s="150" t="str">
        <f t="shared" si="42"/>
        <v>10-Compte compteur</v>
      </c>
      <c r="R565" s="149" t="str">
        <f t="shared" si="43"/>
        <v>404J</v>
      </c>
      <c r="S565" s="150" t="str">
        <f t="shared" si="44"/>
        <v>_</v>
      </c>
      <c r="T565" s="152" t="str">
        <f>+VLOOKUP($L565,Data_Validation!$A:$D,1,0)</f>
        <v>404J@</v>
      </c>
      <c r="U565" s="152" t="str">
        <f>+VLOOKUP($L565,Data_Validation!$A:$D,3,0)</f>
        <v>Véhicules neufs</v>
      </c>
      <c r="V565" s="152" t="str">
        <f>+VLOOKUP($L565,Data_Validation!$A:$D,4,0)</f>
        <v>Autos détail</v>
      </c>
      <c r="W565" s="152" t="str">
        <f>+VLOOKUP($L565,Data_Validation!$A:$E,5,0)</f>
        <v>nb</v>
      </c>
      <c r="X565" s="152">
        <f>+VLOOKUP($L565,Data_Validation!$A:$F,6,0)</f>
        <v>0</v>
      </c>
    </row>
    <row r="566" spans="1:24" ht="15" customHeight="1">
      <c r="A566" s="718" t="s">
        <v>2061</v>
      </c>
      <c r="B566" s="718" t="s">
        <v>2062</v>
      </c>
      <c r="C566" s="720"/>
      <c r="D566" s="720"/>
      <c r="E566" s="720"/>
      <c r="F566" s="718" t="s">
        <v>4</v>
      </c>
      <c r="G566" s="718" t="s">
        <v>2053</v>
      </c>
      <c r="H566" s="673" t="s">
        <v>2971</v>
      </c>
      <c r="I566" s="672">
        <v>-1</v>
      </c>
      <c r="J566" s="672">
        <v>0</v>
      </c>
      <c r="K566" s="672">
        <v>-1</v>
      </c>
      <c r="L566" s="149" t="str">
        <f t="shared" si="40"/>
        <v>405G@</v>
      </c>
      <c r="M566" s="150" t="str">
        <f t="shared" si="41"/>
        <v># DE VTE - M4 COUPE</v>
      </c>
      <c r="N566" s="151">
        <f>+IF(OR($Q566=Parametres!$G$2,$Q566=Parametres!$G$3),I566,C566)</f>
        <v>-1</v>
      </c>
      <c r="O566" s="151">
        <f>+IF(OR($Q566=Parametres!$G$2,$Q566=Parametres!$G$3),J566,D566)</f>
        <v>0</v>
      </c>
      <c r="P566" s="151">
        <f>+IF(OR($Q566=Parametres!$G$2,$Q566=Parametres!$G$3),K566,E566)</f>
        <v>-1</v>
      </c>
      <c r="Q566" s="150" t="str">
        <f t="shared" si="42"/>
        <v>10-Compte compteur</v>
      </c>
      <c r="R566" s="149" t="str">
        <f t="shared" si="43"/>
        <v>405G</v>
      </c>
      <c r="S566" s="150" t="str">
        <f t="shared" si="44"/>
        <v>_</v>
      </c>
      <c r="T566" s="152" t="str">
        <f>+VLOOKUP($L566,Data_Validation!$A:$D,1,0)</f>
        <v>405G@</v>
      </c>
      <c r="U566" s="152" t="str">
        <f>+VLOOKUP($L566,Data_Validation!$A:$D,3,0)</f>
        <v>Véhicules neufs</v>
      </c>
      <c r="V566" s="152" t="str">
        <f>+VLOOKUP($L566,Data_Validation!$A:$D,4,0)</f>
        <v>Autos détail</v>
      </c>
      <c r="W566" s="152" t="str">
        <f>+VLOOKUP($L566,Data_Validation!$A:$E,5,0)</f>
        <v>NB</v>
      </c>
      <c r="X566" s="152">
        <f>+VLOOKUP($L566,Data_Validation!$A:$F,6,0)</f>
        <v>0</v>
      </c>
    </row>
    <row r="567" spans="1:24" ht="15.75" customHeight="1">
      <c r="A567" s="718" t="s">
        <v>1991</v>
      </c>
      <c r="B567" s="718" t="s">
        <v>1992</v>
      </c>
      <c r="C567" s="720"/>
      <c r="D567" s="720"/>
      <c r="E567" s="720"/>
      <c r="F567" s="718" t="s">
        <v>4</v>
      </c>
      <c r="G567" s="718" t="s">
        <v>1984</v>
      </c>
      <c r="H567" s="673" t="s">
        <v>2971</v>
      </c>
      <c r="I567" s="672">
        <v>-3</v>
      </c>
      <c r="J567" s="672">
        <v>0</v>
      </c>
      <c r="K567" s="672">
        <v>-3</v>
      </c>
      <c r="L567" s="149" t="str">
        <f t="shared" si="40"/>
        <v>405K@</v>
      </c>
      <c r="M567" s="150" t="str">
        <f t="shared" si="41"/>
        <v># OF VTES -M440I XDR COUPE</v>
      </c>
      <c r="N567" s="151">
        <f>+IF(OR($Q567=Parametres!$G$2,$Q567=Parametres!$G$3),I567,C567)</f>
        <v>-3</v>
      </c>
      <c r="O567" s="151">
        <f>+IF(OR($Q567=Parametres!$G$2,$Q567=Parametres!$G$3),J567,D567)</f>
        <v>0</v>
      </c>
      <c r="P567" s="151">
        <f>+IF(OR($Q567=Parametres!$G$2,$Q567=Parametres!$G$3),K567,E567)</f>
        <v>-3</v>
      </c>
      <c r="Q567" s="150" t="str">
        <f t="shared" si="42"/>
        <v>10-Compte compteur</v>
      </c>
      <c r="R567" s="149" t="str">
        <f t="shared" si="43"/>
        <v>405K</v>
      </c>
      <c r="S567" s="150" t="str">
        <f t="shared" si="44"/>
        <v>_</v>
      </c>
      <c r="T567" s="152" t="str">
        <f>+VLOOKUP($L567,Data_Validation!$A:$D,1,0)</f>
        <v>405K@</v>
      </c>
      <c r="U567" s="152" t="str">
        <f>+VLOOKUP($L567,Data_Validation!$A:$D,3,0)</f>
        <v>Véhicules neufs</v>
      </c>
      <c r="V567" s="152" t="str">
        <f>+VLOOKUP($L567,Data_Validation!$A:$D,4,0)</f>
        <v>Autos détail</v>
      </c>
      <c r="W567" s="152" t="str">
        <f>+VLOOKUP($L567,Data_Validation!$A:$E,5,0)</f>
        <v>nb</v>
      </c>
      <c r="X567" s="152">
        <f>+VLOOKUP($L567,Data_Validation!$A:$F,6,0)</f>
        <v>0</v>
      </c>
    </row>
    <row r="568" spans="1:24" ht="15" customHeight="1">
      <c r="A568" s="718" t="s">
        <v>1491</v>
      </c>
      <c r="B568" s="718" t="s">
        <v>698</v>
      </c>
      <c r="C568" s="720"/>
      <c r="D568" s="720"/>
      <c r="E568" s="720"/>
      <c r="F568" s="718" t="s">
        <v>4</v>
      </c>
      <c r="G568" s="718" t="s">
        <v>610</v>
      </c>
      <c r="H568" s="607" t="s">
        <v>2971</v>
      </c>
      <c r="I568" s="153">
        <v>-1</v>
      </c>
      <c r="J568" s="153">
        <v>0</v>
      </c>
      <c r="K568" s="153">
        <v>-1</v>
      </c>
      <c r="L568" s="149" t="str">
        <f t="shared" si="40"/>
        <v>406G@</v>
      </c>
      <c r="M568" s="150" t="str">
        <f t="shared" si="41"/>
        <v># DE VTE - M240I XDRIVE COUPE</v>
      </c>
      <c r="N568" s="151">
        <f>+IF(OR($Q568=Parametres!$G$2,$Q568=Parametres!$G$3),I568,C568)</f>
        <v>-1</v>
      </c>
      <c r="O568" s="151">
        <f>+IF(OR($Q568=Parametres!$G$2,$Q568=Parametres!$G$3),J568,D568)</f>
        <v>0</v>
      </c>
      <c r="P568" s="151">
        <f>+IF(OR($Q568=Parametres!$G$2,$Q568=Parametres!$G$3),K568,E568)</f>
        <v>-1</v>
      </c>
      <c r="Q568" s="150" t="str">
        <f t="shared" si="42"/>
        <v>10-Compte compteur</v>
      </c>
      <c r="R568" s="149" t="str">
        <f t="shared" si="43"/>
        <v>406G</v>
      </c>
      <c r="S568" s="150" t="str">
        <f t="shared" si="44"/>
        <v>_</v>
      </c>
      <c r="T568" s="152" t="str">
        <f>+VLOOKUP($L568,Data_Validation!$A:$D,1,0)</f>
        <v>406G@</v>
      </c>
      <c r="U568" s="152" t="str">
        <f>+VLOOKUP($L568,Data_Validation!$A:$D,3,0)</f>
        <v>Véhicules neufs</v>
      </c>
      <c r="V568" s="152" t="str">
        <f>+VLOOKUP($L568,Data_Validation!$A:$D,4,0)</f>
        <v>Autos détail</v>
      </c>
      <c r="W568" s="152" t="str">
        <f>+VLOOKUP($L568,Data_Validation!$A:$E,5,0)</f>
        <v>nb</v>
      </c>
      <c r="X568" s="152">
        <f>+VLOOKUP($L568,Data_Validation!$A:$F,6,0)</f>
        <v>0</v>
      </c>
    </row>
    <row r="569" spans="1:24" ht="15" customHeight="1">
      <c r="A569" s="718" t="s">
        <v>2044</v>
      </c>
      <c r="B569" s="718" t="s">
        <v>2045</v>
      </c>
      <c r="C569" s="720"/>
      <c r="D569" s="720"/>
      <c r="E569" s="720"/>
      <c r="F569" s="718" t="s">
        <v>4</v>
      </c>
      <c r="G569" s="718" t="s">
        <v>2031</v>
      </c>
      <c r="H569" s="607" t="s">
        <v>2971</v>
      </c>
      <c r="I569" s="153">
        <v>-1</v>
      </c>
      <c r="J569" s="153">
        <v>-1</v>
      </c>
      <c r="K569" s="153">
        <v>-2</v>
      </c>
      <c r="L569" s="149" t="str">
        <f t="shared" si="40"/>
        <v>407C@</v>
      </c>
      <c r="M569" s="150" t="str">
        <f t="shared" si="41"/>
        <v># OF VTES -M3 COMPETITION</v>
      </c>
      <c r="N569" s="151">
        <f>+IF(OR($Q569=Parametres!$G$2,$Q569=Parametres!$G$3),I569,C569)</f>
        <v>-1</v>
      </c>
      <c r="O569" s="151">
        <f>+IF(OR($Q569=Parametres!$G$2,$Q569=Parametres!$G$3),J569,D569)</f>
        <v>-1</v>
      </c>
      <c r="P569" s="151">
        <f>+IF(OR($Q569=Parametres!$G$2,$Q569=Parametres!$G$3),K569,E569)</f>
        <v>-2</v>
      </c>
      <c r="Q569" s="150" t="str">
        <f t="shared" si="42"/>
        <v>10-Compte compteur</v>
      </c>
      <c r="R569" s="149" t="str">
        <f t="shared" si="43"/>
        <v>407C</v>
      </c>
      <c r="S569" s="150" t="str">
        <f t="shared" si="44"/>
        <v>_</v>
      </c>
      <c r="T569" s="152" t="str">
        <f>+VLOOKUP($L569,Data_Validation!$A:$D,1,0)</f>
        <v>407C@</v>
      </c>
      <c r="U569" s="152" t="str">
        <f>+VLOOKUP($L569,Data_Validation!$A:$D,3,0)</f>
        <v>Véhicules neufs</v>
      </c>
      <c r="V569" s="152" t="str">
        <f>+VLOOKUP($L569,Data_Validation!$A:$D,4,0)</f>
        <v>Autos détail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customHeight="1">
      <c r="A570" s="718" t="s">
        <v>2877</v>
      </c>
      <c r="B570" s="718" t="s">
        <v>2880</v>
      </c>
      <c r="C570" s="720"/>
      <c r="D570" s="720"/>
      <c r="E570" s="720"/>
      <c r="F570" s="718" t="s">
        <v>4</v>
      </c>
      <c r="G570" s="718" t="s">
        <v>2878</v>
      </c>
      <c r="H570" s="673" t="s">
        <v>2971</v>
      </c>
      <c r="I570" s="672">
        <v>-1</v>
      </c>
      <c r="J570" s="672">
        <v>0</v>
      </c>
      <c r="K570" s="672">
        <v>-1</v>
      </c>
      <c r="L570" s="149" t="str">
        <f t="shared" si="40"/>
        <v>409@</v>
      </c>
      <c r="M570" s="508" t="str">
        <f t="shared" si="41"/>
        <v>X2 XDRIVE28I</v>
      </c>
      <c r="N570" s="151">
        <f>+IF(OR($Q570=Parametres!$G$2,$Q570=Parametres!$G$3),I570,C570)</f>
        <v>-1</v>
      </c>
      <c r="O570" s="509">
        <f>+IF(OR($Q570=Parametres!$G$2,$Q570=Parametres!$G$3),J570,D570)</f>
        <v>0</v>
      </c>
      <c r="P570" s="510">
        <f>+IF(OR($Q570=Parametres!$G$2,$Q570=Parametres!$G$3),K570,E570)</f>
        <v>-1</v>
      </c>
      <c r="Q570" s="150" t="str">
        <f t="shared" si="42"/>
        <v>10-Compte compteur</v>
      </c>
      <c r="R570" s="149" t="str">
        <f t="shared" si="43"/>
        <v>409</v>
      </c>
      <c r="S570" s="150" t="str">
        <f t="shared" si="44"/>
        <v>_</v>
      </c>
      <c r="T570" s="152" t="str">
        <f>+VLOOKUP($L570,Data_Validation!$A:$D,1,0)</f>
        <v>409@</v>
      </c>
      <c r="U570" s="152" t="str">
        <f>+VLOOKUP($L570,Data_Validation!$A:$D,3,0)</f>
        <v>Véhicules neufs</v>
      </c>
      <c r="V570" s="152" t="str">
        <f>+VLOOKUP($L570,Data_Validation!$A:$D,4,0)</f>
        <v>Camions détail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customHeight="1">
      <c r="A571" s="718" t="s">
        <v>2972</v>
      </c>
      <c r="B571" s="718" t="s">
        <v>2976</v>
      </c>
      <c r="C571" s="720"/>
      <c r="D571" s="720"/>
      <c r="E571" s="720"/>
      <c r="F571" s="718" t="s">
        <v>4</v>
      </c>
      <c r="G571" s="718" t="s">
        <v>2973</v>
      </c>
      <c r="H571" s="673" t="s">
        <v>2971</v>
      </c>
      <c r="I571" s="673">
        <v>-3</v>
      </c>
      <c r="J571" s="673">
        <v>0</v>
      </c>
      <c r="K571" s="673">
        <v>-3</v>
      </c>
      <c r="L571" s="149" t="str">
        <f t="shared" si="40"/>
        <v>409C@</v>
      </c>
      <c r="M571" s="150" t="str">
        <f t="shared" si="41"/>
        <v>X3 M50 XDRIVE</v>
      </c>
      <c r="N571" s="151">
        <f>+IF(OR($Q571=Parametres!$G$2,$Q571=Parametres!$G$3),I571,C571)</f>
        <v>-3</v>
      </c>
      <c r="O571" s="504">
        <f>+IF(OR($Q571=Parametres!$G$2,$Q571=Parametres!$G$3),J571,D571)</f>
        <v>0</v>
      </c>
      <c r="P571" s="151">
        <f>+IF(OR($Q571=Parametres!$G$2,$Q571=Parametres!$G$3),K571,E571)</f>
        <v>-3</v>
      </c>
      <c r="Q571" s="150" t="str">
        <f t="shared" si="42"/>
        <v>10-Compte compteur</v>
      </c>
      <c r="R571" s="149" t="str">
        <f t="shared" si="43"/>
        <v>409C</v>
      </c>
      <c r="S571" s="150" t="str">
        <f t="shared" si="44"/>
        <v>_</v>
      </c>
      <c r="T571" s="152" t="str">
        <f>+VLOOKUP($L571,Data_Validation!$A:$D,1,0)</f>
        <v>409C@</v>
      </c>
      <c r="U571" s="152" t="str">
        <f>+VLOOKUP($L571,Data_Validation!$A:$D,3,0)</f>
        <v>Véhicules neufs</v>
      </c>
      <c r="V571" s="152" t="str">
        <f>+VLOOKUP($L571,Data_Validation!$A:$D,4,0)</f>
        <v>Camions détail</v>
      </c>
      <c r="W571" s="152" t="str">
        <f>+VLOOKUP($L571,Data_Validation!$A:$E,5,0)</f>
        <v>nb</v>
      </c>
      <c r="X571" s="152">
        <f>+VLOOKUP($L571,Data_Validation!$A:$F,6,0)</f>
        <v>0</v>
      </c>
    </row>
    <row r="572" spans="1:24" ht="15.75" customHeight="1">
      <c r="A572" s="718" t="s">
        <v>1037</v>
      </c>
      <c r="B572" s="718" t="s">
        <v>700</v>
      </c>
      <c r="C572" s="720"/>
      <c r="D572" s="720"/>
      <c r="E572" s="720"/>
      <c r="F572" s="718" t="s">
        <v>4</v>
      </c>
      <c r="G572" s="718" t="s">
        <v>612</v>
      </c>
      <c r="H572" s="673" t="s">
        <v>2971</v>
      </c>
      <c r="I572" s="672">
        <v>-1</v>
      </c>
      <c r="J572" s="672">
        <v>0</v>
      </c>
      <c r="K572" s="672">
        <v>-1</v>
      </c>
      <c r="L572" s="149" t="str">
        <f t="shared" si="40"/>
        <v>411C@</v>
      </c>
      <c r="M572" s="150" t="str">
        <f t="shared" si="41"/>
        <v># DE VTE - 330I XDRIVE SEDAN</v>
      </c>
      <c r="N572" s="151">
        <f>+IF(OR($Q572=Parametres!$G$2,$Q572=Parametres!$G$3),I572,C572)</f>
        <v>-1</v>
      </c>
      <c r="O572" s="151">
        <f>+IF(OR($Q572=Parametres!$G$2,$Q572=Parametres!$G$3),J572,D572)</f>
        <v>0</v>
      </c>
      <c r="P572" s="151">
        <f>+IF(OR($Q572=Parametres!$G$2,$Q572=Parametres!$G$3),K572,E572)</f>
        <v>-1</v>
      </c>
      <c r="Q572" s="150" t="str">
        <f t="shared" si="42"/>
        <v>10-Compte compteur</v>
      </c>
      <c r="R572" s="149" t="str">
        <f t="shared" si="43"/>
        <v>411C</v>
      </c>
      <c r="S572" s="150" t="str">
        <f t="shared" si="44"/>
        <v>_</v>
      </c>
      <c r="T572" s="152" t="str">
        <f>+VLOOKUP($L572,Data_Validation!$A:$D,1,0)</f>
        <v>411C@</v>
      </c>
      <c r="U572" s="152" t="str">
        <f>+VLOOKUP($L572,Data_Validation!$A:$D,3,0)</f>
        <v>Véhicules neufs</v>
      </c>
      <c r="V572" s="152" t="str">
        <f>+VLOOKUP($L572,Data_Validation!$A:$D,4,0)</f>
        <v>Autos détail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customHeight="1">
      <c r="A573" s="718" t="s">
        <v>1979</v>
      </c>
      <c r="B573" s="718" t="s">
        <v>1982</v>
      </c>
      <c r="C573" s="720"/>
      <c r="D573" s="720"/>
      <c r="E573" s="720"/>
      <c r="F573" s="718" t="s">
        <v>4</v>
      </c>
      <c r="G573" s="718" t="s">
        <v>1980</v>
      </c>
      <c r="H573" s="673" t="s">
        <v>2971</v>
      </c>
      <c r="I573" s="672">
        <v>-1</v>
      </c>
      <c r="J573" s="672">
        <v>-1</v>
      </c>
      <c r="K573" s="672">
        <v>-2</v>
      </c>
      <c r="L573" s="149" t="str">
        <f t="shared" si="40"/>
        <v>412C@</v>
      </c>
      <c r="M573" s="150" t="str">
        <f t="shared" si="41"/>
        <v>M340I XDRIVE</v>
      </c>
      <c r="N573" s="151">
        <f>+IF(OR($Q573=Parametres!$G$2,$Q573=Parametres!$G$3),I573,C573)</f>
        <v>-1</v>
      </c>
      <c r="O573" s="506">
        <f>+IF(OR($Q573=Parametres!$G$2,$Q573=Parametres!$G$3),J573,D573)</f>
        <v>-1</v>
      </c>
      <c r="P573" s="151">
        <f>+IF(OR($Q573=Parametres!$G$2,$Q573=Parametres!$G$3),K573,E573)</f>
        <v>-2</v>
      </c>
      <c r="Q573" s="150" t="str">
        <f t="shared" si="42"/>
        <v>10-Compte compteur</v>
      </c>
      <c r="R573" s="149" t="str">
        <f t="shared" si="43"/>
        <v>412C</v>
      </c>
      <c r="S573" s="150" t="str">
        <f t="shared" si="44"/>
        <v>_</v>
      </c>
      <c r="T573" s="152" t="str">
        <f>+VLOOKUP($L573,Data_Validation!$A:$D,1,0)</f>
        <v>412C@</v>
      </c>
      <c r="U573" s="152" t="str">
        <f>+VLOOKUP($L573,Data_Validation!$A:$D,3,0)</f>
        <v>Véhicules neufs</v>
      </c>
      <c r="V573" s="152" t="str">
        <f>+VLOOKUP($L573,Data_Validation!$A:$D,4,0)</f>
        <v>Autos détail</v>
      </c>
      <c r="W573" s="152" t="str">
        <f>+VLOOKUP($L573,Data_Validation!$A:$E,5,0)</f>
        <v>NB</v>
      </c>
      <c r="X573" s="152">
        <f>+VLOOKUP($L573,Data_Validation!$A:$F,6,0)</f>
        <v>0</v>
      </c>
    </row>
    <row r="574" spans="1:24" ht="15" customHeight="1">
      <c r="A574" s="718" t="s">
        <v>2504</v>
      </c>
      <c r="B574" s="718" t="s">
        <v>2505</v>
      </c>
      <c r="C574" s="720"/>
      <c r="D574" s="720"/>
      <c r="E574" s="720"/>
      <c r="F574" s="718" t="s">
        <v>4</v>
      </c>
      <c r="G574" s="718" t="s">
        <v>2497</v>
      </c>
      <c r="H574" s="673" t="s">
        <v>2971</v>
      </c>
      <c r="I574" s="672">
        <v>-1</v>
      </c>
      <c r="J574" s="672">
        <v>0</v>
      </c>
      <c r="K574" s="672">
        <v>-1</v>
      </c>
      <c r="L574" s="149" t="str">
        <f t="shared" si="40"/>
        <v>415B@</v>
      </c>
      <c r="M574" s="150" t="str">
        <f t="shared" si="41"/>
        <v># DE VTE - i7 xDRIVE60</v>
      </c>
      <c r="N574" s="151">
        <f>+IF(OR($Q574=Parametres!$G$2,$Q574=Parametres!$G$3),I574,C574)</f>
        <v>-1</v>
      </c>
      <c r="O574" s="151">
        <f>+IF(OR($Q574=Parametres!$G$2,$Q574=Parametres!$G$3),J574,D574)</f>
        <v>0</v>
      </c>
      <c r="P574" s="151">
        <f>+IF(OR($Q574=Parametres!$G$2,$Q574=Parametres!$G$3),K574,E574)</f>
        <v>-1</v>
      </c>
      <c r="Q574" s="150" t="str">
        <f t="shared" si="42"/>
        <v>10-Compte compteur</v>
      </c>
      <c r="R574" s="149" t="str">
        <f t="shared" si="43"/>
        <v>415B</v>
      </c>
      <c r="S574" s="150" t="str">
        <f t="shared" si="44"/>
        <v>_</v>
      </c>
      <c r="T574" s="152" t="str">
        <f>+VLOOKUP($L574,Data_Validation!$A:$D,1,0)</f>
        <v>415B@</v>
      </c>
      <c r="U574" s="152" t="str">
        <f>+VLOOKUP($L574,Data_Validation!$A:$D,3,0)</f>
        <v>Véhicules neufs</v>
      </c>
      <c r="V574" s="152" t="str">
        <f>+VLOOKUP($L574,Data_Validation!$A:$D,4,0)</f>
        <v>Autos détail</v>
      </c>
      <c r="W574" s="152" t="str">
        <f>+VLOOKUP($L574,Data_Validation!$A:$E,5,0)</f>
        <v>NB</v>
      </c>
      <c r="X574" s="152">
        <f>+VLOOKUP($L574,Data_Validation!$A:$F,6,0)</f>
        <v>0</v>
      </c>
    </row>
    <row r="575" spans="1:24" ht="15" customHeight="1">
      <c r="A575" s="718" t="s">
        <v>1498</v>
      </c>
      <c r="B575" s="718" t="s">
        <v>702</v>
      </c>
      <c r="C575" s="720"/>
      <c r="D575" s="720"/>
      <c r="E575" s="720"/>
      <c r="F575" s="718" t="s">
        <v>4</v>
      </c>
      <c r="G575" s="718" t="s">
        <v>410</v>
      </c>
      <c r="H575" s="673" t="s">
        <v>2971</v>
      </c>
      <c r="I575" s="672">
        <v>-13</v>
      </c>
      <c r="J575" s="672">
        <v>-4</v>
      </c>
      <c r="K575" s="672">
        <v>-17</v>
      </c>
      <c r="L575" s="149" t="str">
        <f t="shared" si="40"/>
        <v>416@</v>
      </c>
      <c r="M575" s="150" t="str">
        <f t="shared" si="41"/>
        <v># DE VTE - X1 XDRIVE 28I</v>
      </c>
      <c r="N575" s="151">
        <f>+IF(OR($Q575=Parametres!$G$2,$Q575=Parametres!$G$3),I575,C575)</f>
        <v>-13</v>
      </c>
      <c r="O575" s="151">
        <f>+IF(OR($Q575=Parametres!$G$2,$Q575=Parametres!$G$3),J575,D575)</f>
        <v>-4</v>
      </c>
      <c r="P575" s="151">
        <f>+IF(OR($Q575=Parametres!$G$2,$Q575=Parametres!$G$3),K575,E575)</f>
        <v>-17</v>
      </c>
      <c r="Q575" s="150" t="str">
        <f t="shared" si="42"/>
        <v>10-Compte compteur</v>
      </c>
      <c r="R575" s="149" t="str">
        <f t="shared" si="43"/>
        <v>416</v>
      </c>
      <c r="S575" s="150" t="str">
        <f t="shared" si="44"/>
        <v>_</v>
      </c>
      <c r="T575" s="152" t="str">
        <f>+VLOOKUP($L575,Data_Validation!$A:$D,1,0)</f>
        <v>416@</v>
      </c>
      <c r="U575" s="152" t="str">
        <f>+VLOOKUP($L575,Data_Validation!$A:$D,3,0)</f>
        <v>Véhicules neufs</v>
      </c>
      <c r="V575" s="152" t="str">
        <f>+VLOOKUP($L575,Data_Validation!$A:$D,4,0)</f>
        <v>Camions détail</v>
      </c>
      <c r="W575" s="152" t="str">
        <f>+VLOOKUP($L575,Data_Validation!$A:$E,5,0)</f>
        <v>nb</v>
      </c>
      <c r="X575" s="152">
        <f>+VLOOKUP($L575,Data_Validation!$A:$F,6,0)</f>
        <v>0</v>
      </c>
    </row>
    <row r="576" spans="1:24" ht="15" customHeight="1">
      <c r="A576" s="718" t="s">
        <v>2535</v>
      </c>
      <c r="B576" s="718" t="s">
        <v>2536</v>
      </c>
      <c r="C576" s="720"/>
      <c r="D576" s="720"/>
      <c r="E576" s="720"/>
      <c r="F576" s="718" t="s">
        <v>4</v>
      </c>
      <c r="G576" s="718" t="s">
        <v>2528</v>
      </c>
      <c r="H576" s="609" t="s">
        <v>2971</v>
      </c>
      <c r="I576" s="608">
        <v>-1</v>
      </c>
      <c r="J576" s="608">
        <v>-2</v>
      </c>
      <c r="K576" s="608">
        <v>-3</v>
      </c>
      <c r="L576" s="149" t="str">
        <f t="shared" si="40"/>
        <v>416A@</v>
      </c>
      <c r="M576" s="150" t="str">
        <f t="shared" si="41"/>
        <v># DE VTE - X1 M35i xDRIVE</v>
      </c>
      <c r="N576" s="151">
        <f>+IF(OR($Q576=Parametres!$G$2,$Q576=Parametres!$G$3),I576,C576)</f>
        <v>-1</v>
      </c>
      <c r="O576" s="504">
        <f>+IF(OR($Q576=Parametres!$G$2,$Q576=Parametres!$G$3),J576,D576)</f>
        <v>-2</v>
      </c>
      <c r="P576" s="151">
        <f>+IF(OR($Q576=Parametres!$G$2,$Q576=Parametres!$G$3),K576,E576)</f>
        <v>-3</v>
      </c>
      <c r="Q576" s="150" t="str">
        <f t="shared" si="42"/>
        <v>10-Compte compteur</v>
      </c>
      <c r="R576" s="149" t="str">
        <f t="shared" si="43"/>
        <v>416A</v>
      </c>
      <c r="S576" s="150" t="str">
        <f t="shared" si="44"/>
        <v>_</v>
      </c>
      <c r="T576" s="152" t="str">
        <f>+VLOOKUP($L576,Data_Validation!$A:$D,1,0)</f>
        <v>416A@</v>
      </c>
      <c r="U576" s="152" t="str">
        <f>+VLOOKUP($L576,Data_Validation!$A:$D,3,0)</f>
        <v>Véhicules neufs</v>
      </c>
      <c r="V576" s="152" t="str">
        <f>+VLOOKUP($L576,Data_Validation!$A:$D,4,0)</f>
        <v>Camions détail</v>
      </c>
      <c r="W576" s="152" t="str">
        <f>+VLOOKUP($L576,Data_Validation!$A:$E,5,0)</f>
        <v>NB</v>
      </c>
      <c r="X576" s="152">
        <f>+VLOOKUP($L576,Data_Validation!$A:$F,6,0)</f>
        <v>0</v>
      </c>
    </row>
    <row r="577" spans="1:24" ht="15" customHeight="1">
      <c r="A577" s="718" t="s">
        <v>1500</v>
      </c>
      <c r="B577" s="718" t="s">
        <v>705</v>
      </c>
      <c r="C577" s="719"/>
      <c r="D577" s="719"/>
      <c r="E577" s="719"/>
      <c r="F577" s="718" t="s">
        <v>4</v>
      </c>
      <c r="G577" s="718" t="s">
        <v>616</v>
      </c>
      <c r="H577" s="719" t="s">
        <v>2971</v>
      </c>
      <c r="I577" s="720">
        <v>-6</v>
      </c>
      <c r="J577" s="720">
        <v>-8</v>
      </c>
      <c r="K577" s="720">
        <v>-14</v>
      </c>
      <c r="L577" s="149" t="str">
        <f t="shared" si="40"/>
        <v>418@</v>
      </c>
      <c r="M577" s="150" t="str">
        <f t="shared" si="41"/>
        <v># DE VTE - AUTRES MODELES BMW</v>
      </c>
      <c r="N577" s="151">
        <f>+IF(OR($Q577=Parametres!$G$2,$Q577=Parametres!$G$3),I577,C577)</f>
        <v>-6</v>
      </c>
      <c r="O577" s="151">
        <f>+IF(OR($Q577=Parametres!$G$2,$Q577=Parametres!$G$3),J577,D577)</f>
        <v>-8</v>
      </c>
      <c r="P577" s="151">
        <f>+IF(OR($Q577=Parametres!$G$2,$Q577=Parametres!$G$3),K577,E577)</f>
        <v>-14</v>
      </c>
      <c r="Q577" s="150" t="str">
        <f t="shared" si="42"/>
        <v>10-Compte compteur</v>
      </c>
      <c r="R577" s="149" t="str">
        <f t="shared" si="43"/>
        <v>418</v>
      </c>
      <c r="S577" s="150" t="str">
        <f t="shared" si="44"/>
        <v>_</v>
      </c>
      <c r="T577" s="152" t="str">
        <f>+VLOOKUP($L577,Data_Validation!$A:$D,1,0)</f>
        <v>418@</v>
      </c>
      <c r="U577" s="152" t="str">
        <f>+VLOOKUP($L577,Data_Validation!$A:$D,3,0)</f>
        <v>Véhicules neufs</v>
      </c>
      <c r="V577" s="152" t="str">
        <f>+VLOOKUP($L577,Data_Validation!$A:$D,4,0)</f>
        <v>Ex-Démos et courtoisies</v>
      </c>
      <c r="W577" s="152" t="str">
        <f>+VLOOKUP($L577,Data_Validation!$A:$E,5,0)</f>
        <v>nb</v>
      </c>
      <c r="X577" s="152">
        <f>+VLOOKUP($L577,Data_Validation!$A:$F,6,0)</f>
        <v>0</v>
      </c>
    </row>
    <row r="578" spans="1:24" ht="15" customHeight="1">
      <c r="A578" s="718" t="s">
        <v>1504</v>
      </c>
      <c r="B578" s="718" t="s">
        <v>709</v>
      </c>
      <c r="C578" s="720"/>
      <c r="D578" s="720"/>
      <c r="E578" s="720"/>
      <c r="F578" s="718" t="s">
        <v>4</v>
      </c>
      <c r="G578" s="718" t="s">
        <v>419</v>
      </c>
      <c r="H578" s="673" t="s">
        <v>2971</v>
      </c>
      <c r="I578" s="673">
        <v>0</v>
      </c>
      <c r="J578" s="673">
        <v>-1</v>
      </c>
      <c r="K578" s="673">
        <v>-1</v>
      </c>
      <c r="L578" s="149" t="str">
        <f t="shared" ref="L578:L641" si="45">+B578</f>
        <v>422A@</v>
      </c>
      <c r="M578" s="150" t="str">
        <f t="shared" ref="M578:M641" si="46">+A578</f>
        <v># DE VTE - X6 XDRIVE 35I</v>
      </c>
      <c r="N578" s="151">
        <f>+IF(OR($Q578=Parametres!$G$2,$Q578=Parametres!$G$3),I578,C578)</f>
        <v>0</v>
      </c>
      <c r="O578" s="151">
        <f>+IF(OR($Q578=Parametres!$G$2,$Q578=Parametres!$G$3),J578,D578)</f>
        <v>-1</v>
      </c>
      <c r="P578" s="151">
        <f>+IF(OR($Q578=Parametres!$G$2,$Q578=Parametres!$G$3),K578,E578)</f>
        <v>-1</v>
      </c>
      <c r="Q578" s="150" t="str">
        <f t="shared" ref="Q578:Q641" si="47">+F578</f>
        <v>10-Compte compteur</v>
      </c>
      <c r="R578" s="149" t="str">
        <f t="shared" ref="R578:R641" si="48">+G578</f>
        <v>422A</v>
      </c>
      <c r="S578" s="150" t="str">
        <f t="shared" ref="S578:S641" si="49">+H578</f>
        <v>_</v>
      </c>
      <c r="T578" s="152" t="str">
        <f>+VLOOKUP($L578,Data_Validation!$A:$D,1,0)</f>
        <v>422A@</v>
      </c>
      <c r="U578" s="152" t="str">
        <f>+VLOOKUP($L578,Data_Validation!$A:$D,3,0)</f>
        <v>Véhicules neufs</v>
      </c>
      <c r="V578" s="152" t="str">
        <f>+VLOOKUP($L578,Data_Validation!$A:$D,4,0)</f>
        <v>Camions détail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customHeight="1">
      <c r="A579" s="718" t="s">
        <v>1505</v>
      </c>
      <c r="B579" s="718" t="s">
        <v>711</v>
      </c>
      <c r="C579" s="720"/>
      <c r="D579" s="720"/>
      <c r="E579" s="720"/>
      <c r="F579" s="718" t="s">
        <v>4</v>
      </c>
      <c r="G579" s="718" t="s">
        <v>617</v>
      </c>
      <c r="H579" s="673" t="s">
        <v>2971</v>
      </c>
      <c r="I579" s="672">
        <v>-3</v>
      </c>
      <c r="J579" s="672">
        <v>-4</v>
      </c>
      <c r="K579" s="672">
        <v>-7</v>
      </c>
      <c r="L579" s="149" t="str">
        <f t="shared" si="45"/>
        <v>423C@</v>
      </c>
      <c r="M579" s="150" t="str">
        <f t="shared" si="46"/>
        <v># DE VTE - X3 XDRIVE 30E</v>
      </c>
      <c r="N579" s="151">
        <f>+IF(OR($Q579=Parametres!$G$2,$Q579=Parametres!$G$3),I579,C579)</f>
        <v>-3</v>
      </c>
      <c r="O579" s="151">
        <f>+IF(OR($Q579=Parametres!$G$2,$Q579=Parametres!$G$3),J579,D579)</f>
        <v>-4</v>
      </c>
      <c r="P579" s="151">
        <f>+IF(OR($Q579=Parametres!$G$2,$Q579=Parametres!$G$3),K579,E579)</f>
        <v>-7</v>
      </c>
      <c r="Q579" s="150" t="str">
        <f t="shared" si="47"/>
        <v>10-Compte compteur</v>
      </c>
      <c r="R579" s="149" t="str">
        <f t="shared" si="48"/>
        <v>423C</v>
      </c>
      <c r="S579" s="150" t="str">
        <f t="shared" si="49"/>
        <v>_</v>
      </c>
      <c r="T579" s="152" t="str">
        <f>+VLOOKUP($L579,Data_Validation!$A:$D,1,0)</f>
        <v>423C@</v>
      </c>
      <c r="U579" s="152" t="str">
        <f>+VLOOKUP($L579,Data_Validation!$A:$D,3,0)</f>
        <v>Véhicules neufs</v>
      </c>
      <c r="V579" s="152" t="str">
        <f>+VLOOKUP($L579,Data_Validation!$A:$D,4,0)</f>
        <v>Camions détail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customHeight="1">
      <c r="A580" s="718" t="s">
        <v>1506</v>
      </c>
      <c r="B580" s="718" t="s">
        <v>712</v>
      </c>
      <c r="C580" s="720"/>
      <c r="D580" s="720"/>
      <c r="E580" s="720"/>
      <c r="F580" s="718" t="s">
        <v>4</v>
      </c>
      <c r="G580" s="718" t="s">
        <v>618</v>
      </c>
      <c r="H580" s="673" t="s">
        <v>2971</v>
      </c>
      <c r="I580" s="672">
        <v>-3</v>
      </c>
      <c r="J580" s="672">
        <v>-2</v>
      </c>
      <c r="K580" s="672">
        <v>-5</v>
      </c>
      <c r="L580" s="149" t="str">
        <f t="shared" si="45"/>
        <v>423D@</v>
      </c>
      <c r="M580" s="150" t="str">
        <f t="shared" si="46"/>
        <v># DE VTE - X5 XDRIVE 35I/ X5 XDRIVE 40I</v>
      </c>
      <c r="N580" s="151">
        <f>+IF(OR($Q580=Parametres!$G$2,$Q580=Parametres!$G$3),I580,C580)</f>
        <v>-3</v>
      </c>
      <c r="O580" s="151">
        <f>+IF(OR($Q580=Parametres!$G$2,$Q580=Parametres!$G$3),J580,D580)</f>
        <v>-2</v>
      </c>
      <c r="P580" s="151">
        <f>+IF(OR($Q580=Parametres!$G$2,$Q580=Parametres!$G$3),K580,E580)</f>
        <v>-5</v>
      </c>
      <c r="Q580" s="150" t="str">
        <f t="shared" si="47"/>
        <v>10-Compte compteur</v>
      </c>
      <c r="R580" s="149" t="str">
        <f t="shared" si="48"/>
        <v>423D</v>
      </c>
      <c r="S580" s="150" t="str">
        <f t="shared" si="49"/>
        <v>_</v>
      </c>
      <c r="T580" s="152" t="str">
        <f>+VLOOKUP($L580,Data_Validation!$A:$D,1,0)</f>
        <v>423D@</v>
      </c>
      <c r="U580" s="152" t="str">
        <f>+VLOOKUP($L580,Data_Validation!$A:$D,3,0)</f>
        <v>Véhicules neufs</v>
      </c>
      <c r="V580" s="152" t="str">
        <f>+VLOOKUP($L580,Data_Validation!$A:$D,4,0)</f>
        <v>Camions détail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customHeight="1">
      <c r="A581" s="718" t="s">
        <v>2490</v>
      </c>
      <c r="B581" s="718" t="s">
        <v>2491</v>
      </c>
      <c r="C581" s="719"/>
      <c r="D581" s="719"/>
      <c r="E581" s="719"/>
      <c r="F581" s="718" t="s">
        <v>4</v>
      </c>
      <c r="G581" s="718" t="s">
        <v>2487</v>
      </c>
      <c r="H581" s="719" t="s">
        <v>2971</v>
      </c>
      <c r="I581" s="720">
        <v>-4</v>
      </c>
      <c r="J581" s="720">
        <v>0</v>
      </c>
      <c r="K581" s="720">
        <v>-4</v>
      </c>
      <c r="L581" s="149" t="str">
        <f t="shared" si="45"/>
        <v>423F@</v>
      </c>
      <c r="M581" s="150" t="str">
        <f t="shared" si="46"/>
        <v># DE VTE - X5 xDRIVE50e</v>
      </c>
      <c r="N581" s="151">
        <f>+IF(OR($Q581=Parametres!$G$2,$Q581=Parametres!$G$3),I581,C581)</f>
        <v>-4</v>
      </c>
      <c r="O581" s="151">
        <f>+IF(OR($Q581=Parametres!$G$2,$Q581=Parametres!$G$3),J581,D581)</f>
        <v>0</v>
      </c>
      <c r="P581" s="151">
        <f>+IF(OR($Q581=Parametres!$G$2,$Q581=Parametres!$G$3),K581,E581)</f>
        <v>-4</v>
      </c>
      <c r="Q581" s="150" t="str">
        <f t="shared" si="47"/>
        <v>10-Compte compteur</v>
      </c>
      <c r="R581" s="149" t="str">
        <f t="shared" si="48"/>
        <v>423F</v>
      </c>
      <c r="S581" s="150" t="str">
        <f t="shared" si="49"/>
        <v>_</v>
      </c>
      <c r="T581" s="152" t="str">
        <f>+VLOOKUP($L581,Data_Validation!$A:$D,1,0)</f>
        <v>423F@</v>
      </c>
      <c r="U581" s="152" t="str">
        <f>+VLOOKUP($L581,Data_Validation!$A:$D,3,0)</f>
        <v>Véhicules neufs</v>
      </c>
      <c r="V581" s="152" t="str">
        <f>+VLOOKUP($L581,Data_Validation!$A:$D,4,0)</f>
        <v>Camions détail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customHeight="1">
      <c r="A582" s="718" t="s">
        <v>1879</v>
      </c>
      <c r="B582" s="718" t="s">
        <v>719</v>
      </c>
      <c r="C582" s="719"/>
      <c r="D582" s="719"/>
      <c r="E582" s="719"/>
      <c r="F582" s="718" t="s">
        <v>4</v>
      </c>
      <c r="G582" s="718" t="s">
        <v>625</v>
      </c>
      <c r="H582" s="719" t="s">
        <v>2971</v>
      </c>
      <c r="I582" s="720">
        <v>0</v>
      </c>
      <c r="J582" s="720">
        <v>-1</v>
      </c>
      <c r="K582" s="720">
        <v>-1</v>
      </c>
      <c r="L582" s="149" t="str">
        <f t="shared" si="45"/>
        <v>430@</v>
      </c>
      <c r="M582" s="150" t="str">
        <f t="shared" si="46"/>
        <v># DE VTE - M5 SEDAN</v>
      </c>
      <c r="N582" s="151">
        <f>+IF(OR($Q582=Parametres!$G$2,$Q582=Parametres!$G$3),I582,C582)</f>
        <v>0</v>
      </c>
      <c r="O582" s="151">
        <f>+IF(OR($Q582=Parametres!$G$2,$Q582=Parametres!$G$3),J582,D582)</f>
        <v>-1</v>
      </c>
      <c r="P582" s="151">
        <f>+IF(OR($Q582=Parametres!$G$2,$Q582=Parametres!$G$3),K582,E582)</f>
        <v>-1</v>
      </c>
      <c r="Q582" s="150" t="str">
        <f t="shared" si="47"/>
        <v>10-Compte compteur</v>
      </c>
      <c r="R582" s="149" t="str">
        <f t="shared" si="48"/>
        <v>430</v>
      </c>
      <c r="S582" s="150" t="str">
        <f t="shared" si="49"/>
        <v>_</v>
      </c>
      <c r="T582" s="152" t="str">
        <f>+VLOOKUP($L582,Data_Validation!$A:$D,1,0)</f>
        <v>430@</v>
      </c>
      <c r="U582" s="152" t="str">
        <f>+VLOOKUP($L582,Data_Validation!$A:$D,3,0)</f>
        <v>Véhicules neufs</v>
      </c>
      <c r="V582" s="152" t="str">
        <f>+VLOOKUP($L582,Data_Validation!$A:$D,4,0)</f>
        <v>Autos détail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customHeight="1">
      <c r="A583" s="718" t="s">
        <v>1510</v>
      </c>
      <c r="B583" s="718" t="s">
        <v>1041</v>
      </c>
      <c r="C583" s="719"/>
      <c r="D583" s="719"/>
      <c r="E583" s="719"/>
      <c r="F583" s="718" t="s">
        <v>4</v>
      </c>
      <c r="G583" s="718" t="s">
        <v>625</v>
      </c>
      <c r="H583" s="719" t="s">
        <v>2971</v>
      </c>
      <c r="I583" s="720">
        <v>-47</v>
      </c>
      <c r="J583" s="720">
        <v>-29</v>
      </c>
      <c r="K583" s="720">
        <v>-76</v>
      </c>
      <c r="L583" s="149" t="str">
        <f t="shared" si="45"/>
        <v>430A@</v>
      </c>
      <c r="M583" s="150" t="str">
        <f t="shared" si="46"/>
        <v># DE VTE - MARQUAGE OTOPROTEC NEUF BMW AUTO</v>
      </c>
      <c r="N583" s="151">
        <f>+IF(OR($Q583=Parametres!$G$2,$Q583=Parametres!$G$3),I583,C583)</f>
        <v>-47</v>
      </c>
      <c r="O583" s="151">
        <f>+IF(OR($Q583=Parametres!$G$2,$Q583=Parametres!$G$3),J583,D583)</f>
        <v>-29</v>
      </c>
      <c r="P583" s="151">
        <f>+IF(OR($Q583=Parametres!$G$2,$Q583=Parametres!$G$3),K583,E583)</f>
        <v>-76</v>
      </c>
      <c r="Q583" s="150" t="str">
        <f t="shared" si="47"/>
        <v>10-Compte compteur</v>
      </c>
      <c r="R583" s="149" t="str">
        <f t="shared" si="48"/>
        <v>430</v>
      </c>
      <c r="S583" s="150" t="str">
        <f t="shared" si="49"/>
        <v>_</v>
      </c>
      <c r="T583" s="152" t="str">
        <f>+VLOOKUP($L583,Data_Validation!$A:$D,1,0)</f>
        <v>430A@</v>
      </c>
      <c r="U583" s="152" t="str">
        <f>+VLOOKUP($L583,Data_Validation!$A:$D,3,0)</f>
        <v>Véhicules neufs</v>
      </c>
      <c r="V583" s="152" t="str">
        <f>+VLOOKUP($L583,Data_Validation!$A:$D,4,0)</f>
        <v>Rev. Autres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customHeight="1">
      <c r="A584" s="718" t="s">
        <v>1511</v>
      </c>
      <c r="B584" s="718" t="s">
        <v>1042</v>
      </c>
      <c r="C584" s="720"/>
      <c r="D584" s="720"/>
      <c r="E584" s="720"/>
      <c r="F584" s="718" t="s">
        <v>4</v>
      </c>
      <c r="G584" s="718" t="s">
        <v>625</v>
      </c>
      <c r="H584" s="673" t="s">
        <v>2971</v>
      </c>
      <c r="I584" s="672">
        <v>-4</v>
      </c>
      <c r="J584" s="672">
        <v>-9</v>
      </c>
      <c r="K584" s="672">
        <v>-13</v>
      </c>
      <c r="L584" s="149" t="str">
        <f t="shared" si="45"/>
        <v>430C@</v>
      </c>
      <c r="M584" s="150" t="str">
        <f t="shared" si="46"/>
        <v># DE VTE - ACCESSOIRES NEUFS BMW AUTO</v>
      </c>
      <c r="N584" s="151">
        <f>+IF(OR($Q584=Parametres!$G$2,$Q584=Parametres!$G$3),I584,C584)</f>
        <v>-4</v>
      </c>
      <c r="O584" s="151">
        <f>+IF(OR($Q584=Parametres!$G$2,$Q584=Parametres!$G$3),J584,D584)</f>
        <v>-9</v>
      </c>
      <c r="P584" s="151">
        <f>+IF(OR($Q584=Parametres!$G$2,$Q584=Parametres!$G$3),K584,E584)</f>
        <v>-13</v>
      </c>
      <c r="Q584" s="150" t="str">
        <f t="shared" si="47"/>
        <v>10-Compte compteur</v>
      </c>
      <c r="R584" s="149" t="str">
        <f t="shared" si="48"/>
        <v>430</v>
      </c>
      <c r="S584" s="150" t="str">
        <f t="shared" si="49"/>
        <v>_</v>
      </c>
      <c r="T584" s="152" t="str">
        <f>+VLOOKUP($L584,Data_Validation!$A:$D,1,0)</f>
        <v>430C@</v>
      </c>
      <c r="U584" s="152" t="str">
        <f>+VLOOKUP($L584,Data_Validation!$A:$D,3,0)</f>
        <v>Véhicules neufs</v>
      </c>
      <c r="V584" s="152" t="str">
        <f>+VLOOKUP($L584,Data_Validation!$A:$D,4,0)</f>
        <v>Rev. Autres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customHeight="1">
      <c r="A585" s="718" t="s">
        <v>1512</v>
      </c>
      <c r="B585" s="718" t="s">
        <v>1513</v>
      </c>
      <c r="C585" s="720"/>
      <c r="D585" s="720"/>
      <c r="E585" s="720"/>
      <c r="F585" s="718" t="s">
        <v>4</v>
      </c>
      <c r="G585" s="718" t="s">
        <v>625</v>
      </c>
      <c r="H585" s="666" t="s">
        <v>2971</v>
      </c>
      <c r="I585" s="665">
        <v>-44</v>
      </c>
      <c r="J585" s="665">
        <v>-28</v>
      </c>
      <c r="K585" s="665">
        <v>-72</v>
      </c>
      <c r="L585" s="149" t="str">
        <f t="shared" si="45"/>
        <v>430E@</v>
      </c>
      <c r="M585" s="150" t="str">
        <f t="shared" si="46"/>
        <v># DE SLS - PROTEC ESTHETIQUE NEUF BMW AUTO</v>
      </c>
      <c r="N585" s="151">
        <f>+IF(OR($Q585=Parametres!$G$2,$Q585=Parametres!$G$3),I585,C585)</f>
        <v>-44</v>
      </c>
      <c r="O585" s="151">
        <f>+IF(OR($Q585=Parametres!$G$2,$Q585=Parametres!$G$3),J585,D585)</f>
        <v>-28</v>
      </c>
      <c r="P585" s="151">
        <f>+IF(OR($Q585=Parametres!$G$2,$Q585=Parametres!$G$3),K585,E585)</f>
        <v>-72</v>
      </c>
      <c r="Q585" s="150" t="str">
        <f t="shared" si="47"/>
        <v>10-Compte compteur</v>
      </c>
      <c r="R585" s="149" t="str">
        <f t="shared" si="48"/>
        <v>430</v>
      </c>
      <c r="S585" s="150" t="str">
        <f t="shared" si="49"/>
        <v>_</v>
      </c>
      <c r="T585" s="152" t="str">
        <f>+VLOOKUP($L585,Data_Validation!$A:$D,1,0)</f>
        <v>430E@</v>
      </c>
      <c r="U585" s="152" t="str">
        <f>+VLOOKUP($L585,Data_Validation!$A:$D,3,0)</f>
        <v>Véhicules neufs</v>
      </c>
      <c r="V585" s="152" t="str">
        <f>+VLOOKUP($L585,Data_Validation!$A:$D,4,0)</f>
        <v>Rev. Protections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customHeight="1">
      <c r="A586" s="718" t="s">
        <v>1514</v>
      </c>
      <c r="B586" s="718" t="s">
        <v>1515</v>
      </c>
      <c r="C586" s="720"/>
      <c r="D586" s="720"/>
      <c r="E586" s="720"/>
      <c r="F586" s="718" t="s">
        <v>4</v>
      </c>
      <c r="G586" s="718" t="s">
        <v>625</v>
      </c>
      <c r="H586" s="673" t="s">
        <v>2971</v>
      </c>
      <c r="I586" s="672">
        <v>-2</v>
      </c>
      <c r="J586" s="672">
        <v>0</v>
      </c>
      <c r="K586" s="672">
        <v>-2</v>
      </c>
      <c r="L586" s="149" t="str">
        <f t="shared" si="45"/>
        <v>430F@</v>
      </c>
      <c r="M586" s="150" t="str">
        <f t="shared" si="46"/>
        <v># DE VTE - RIST FIN NEUF BMW AUTO</v>
      </c>
      <c r="N586" s="151">
        <f>+IF(OR($Q586=Parametres!$G$2,$Q586=Parametres!$G$3),I586,C586)</f>
        <v>-2</v>
      </c>
      <c r="O586" s="151">
        <f>+IF(OR($Q586=Parametres!$G$2,$Q586=Parametres!$G$3),J586,D586)</f>
        <v>0</v>
      </c>
      <c r="P586" s="151">
        <f>+IF(OR($Q586=Parametres!$G$2,$Q586=Parametres!$G$3),K586,E586)</f>
        <v>-2</v>
      </c>
      <c r="Q586" s="150" t="str">
        <f t="shared" si="47"/>
        <v>10-Compte compteur</v>
      </c>
      <c r="R586" s="149" t="str">
        <f t="shared" si="48"/>
        <v>430</v>
      </c>
      <c r="S586" s="150" t="str">
        <f t="shared" si="49"/>
        <v>_</v>
      </c>
      <c r="T586" s="152" t="str">
        <f>+VLOOKUP($L586,Data_Validation!$A:$D,1,0)</f>
        <v>430F@</v>
      </c>
      <c r="U586" s="152" t="str">
        <f>+VLOOKUP($L586,Data_Validation!$A:$D,3,0)</f>
        <v>Véhicules neufs</v>
      </c>
      <c r="V586" s="152" t="str">
        <f>+VLOOKUP($L586,Data_Validation!$A:$D,4,0)</f>
        <v>Rev. Finances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customHeight="1">
      <c r="A587" s="718" t="s">
        <v>1516</v>
      </c>
      <c r="B587" s="718" t="s">
        <v>1043</v>
      </c>
      <c r="C587" s="720"/>
      <c r="D587" s="720"/>
      <c r="E587" s="720"/>
      <c r="F587" s="718" t="s">
        <v>4</v>
      </c>
      <c r="G587" s="718" t="s">
        <v>625</v>
      </c>
      <c r="H587" s="673" t="s">
        <v>2971</v>
      </c>
      <c r="I587" s="672">
        <v>-2</v>
      </c>
      <c r="J587" s="672">
        <v>-1</v>
      </c>
      <c r="K587" s="672">
        <v>-3</v>
      </c>
      <c r="L587" s="149" t="str">
        <f t="shared" si="45"/>
        <v>430P@</v>
      </c>
      <c r="M587" s="150" t="str">
        <f t="shared" si="46"/>
        <v># DE VTE - PROTEC PNEUS/JANTES NEUF BMW AUTO</v>
      </c>
      <c r="N587" s="151">
        <f>+IF(OR($Q587=Parametres!$G$2,$Q587=Parametres!$G$3),I587,C587)</f>
        <v>-2</v>
      </c>
      <c r="O587" s="151">
        <f>+IF(OR($Q587=Parametres!$G$2,$Q587=Parametres!$G$3),J587,D587)</f>
        <v>-1</v>
      </c>
      <c r="P587" s="151">
        <f>+IF(OR($Q587=Parametres!$G$2,$Q587=Parametres!$G$3),K587,E587)</f>
        <v>-3</v>
      </c>
      <c r="Q587" s="150" t="str">
        <f t="shared" si="47"/>
        <v>10-Compte compteur</v>
      </c>
      <c r="R587" s="149" t="str">
        <f t="shared" si="48"/>
        <v>430</v>
      </c>
      <c r="S587" s="150" t="str">
        <f t="shared" si="49"/>
        <v>_</v>
      </c>
      <c r="T587" s="152" t="str">
        <f>+VLOOKUP($L587,Data_Validation!$A:$D,1,0)</f>
        <v>430P@</v>
      </c>
      <c r="U587" s="152" t="str">
        <f>+VLOOKUP($L587,Data_Validation!$A:$D,3,0)</f>
        <v>Véhicules neufs</v>
      </c>
      <c r="V587" s="152" t="str">
        <f>+VLOOKUP($L587,Data_Validation!$A:$D,4,0)</f>
        <v>Rev. Protections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customHeight="1">
      <c r="A588" s="718" t="s">
        <v>1950</v>
      </c>
      <c r="B588" s="718" t="s">
        <v>1951</v>
      </c>
      <c r="C588" s="720"/>
      <c r="D588" s="720"/>
      <c r="E588" s="720"/>
      <c r="F588" s="718" t="s">
        <v>4</v>
      </c>
      <c r="G588" s="718" t="s">
        <v>625</v>
      </c>
      <c r="H588" s="673" t="s">
        <v>2971</v>
      </c>
      <c r="I588" s="672">
        <v>0</v>
      </c>
      <c r="J588" s="672">
        <v>-3</v>
      </c>
      <c r="K588" s="672">
        <v>-3</v>
      </c>
      <c r="L588" s="149" t="str">
        <f t="shared" si="45"/>
        <v>430R@</v>
      </c>
      <c r="M588" s="150" t="str">
        <f t="shared" si="46"/>
        <v># DE VTE - ASS. REMP. NEUF BMW AUTO</v>
      </c>
      <c r="N588" s="151">
        <f>+IF(OR($Q588=Parametres!$G$2,$Q588=Parametres!$G$3),I588,C588)</f>
        <v>0</v>
      </c>
      <c r="O588" s="151">
        <f>+IF(OR($Q588=Parametres!$G$2,$Q588=Parametres!$G$3),J588,D588)</f>
        <v>-3</v>
      </c>
      <c r="P588" s="151">
        <f>+IF(OR($Q588=Parametres!$G$2,$Q588=Parametres!$G$3),K588,E588)</f>
        <v>-3</v>
      </c>
      <c r="Q588" s="150" t="str">
        <f t="shared" si="47"/>
        <v>10-Compte compteur</v>
      </c>
      <c r="R588" s="149" t="str">
        <f t="shared" si="48"/>
        <v>430</v>
      </c>
      <c r="S588" s="150" t="str">
        <f t="shared" si="49"/>
        <v>_</v>
      </c>
      <c r="T588" s="152" t="str">
        <f>+VLOOKUP($L588,Data_Validation!$A:$D,1,0)</f>
        <v>430R@</v>
      </c>
      <c r="U588" s="152" t="str">
        <f>+VLOOKUP($L588,Data_Validation!$A:$D,3,0)</f>
        <v>Véhicules neufs</v>
      </c>
      <c r="V588" s="152" t="str">
        <f>+VLOOKUP($L588,Data_Validation!$A:$D,4,0)</f>
        <v>Rev. Protections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customHeight="1">
      <c r="A589" s="718" t="s">
        <v>1517</v>
      </c>
      <c r="B589" s="718" t="s">
        <v>1518</v>
      </c>
      <c r="C589" s="720"/>
      <c r="D589" s="720"/>
      <c r="E589" s="720"/>
      <c r="F589" s="718" t="s">
        <v>4</v>
      </c>
      <c r="G589" s="718" t="s">
        <v>625</v>
      </c>
      <c r="H589" s="673" t="s">
        <v>2971</v>
      </c>
      <c r="I589" s="672">
        <v>-3</v>
      </c>
      <c r="J589" s="672">
        <v>-8</v>
      </c>
      <c r="K589" s="672">
        <v>-11</v>
      </c>
      <c r="L589" s="149" t="str">
        <f t="shared" si="45"/>
        <v>430T@</v>
      </c>
      <c r="M589" s="150" t="str">
        <f t="shared" si="46"/>
        <v># DE SLS - TRAITEMENT OTOPROTEC NEUF BMW AUTO</v>
      </c>
      <c r="N589" s="151">
        <f>+IF(OR($Q589=Parametres!$G$2,$Q589=Parametres!$G$3),I589,C589)</f>
        <v>-3</v>
      </c>
      <c r="O589" s="151">
        <f>+IF(OR($Q589=Parametres!$G$2,$Q589=Parametres!$G$3),J589,D589)</f>
        <v>-8</v>
      </c>
      <c r="P589" s="151">
        <f>+IF(OR($Q589=Parametres!$G$2,$Q589=Parametres!$G$3),K589,E589)</f>
        <v>-11</v>
      </c>
      <c r="Q589" s="150" t="str">
        <f t="shared" si="47"/>
        <v>10-Compte compteur</v>
      </c>
      <c r="R589" s="149" t="str">
        <f t="shared" si="48"/>
        <v>430</v>
      </c>
      <c r="S589" s="150" t="str">
        <f t="shared" si="49"/>
        <v>_</v>
      </c>
      <c r="T589" s="152" t="str">
        <f>+VLOOKUP($L589,Data_Validation!$A:$D,1,0)</f>
        <v>430T@</v>
      </c>
      <c r="U589" s="152" t="str">
        <f>+VLOOKUP($L589,Data_Validation!$A:$D,3,0)</f>
        <v>Véhicules neufs</v>
      </c>
      <c r="V589" s="152" t="str">
        <f>+VLOOKUP($L589,Data_Validation!$A:$D,4,0)</f>
        <v>Rev. Autres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customHeight="1">
      <c r="A590" s="718" t="s">
        <v>1519</v>
      </c>
      <c r="B590" s="718" t="s">
        <v>1520</v>
      </c>
      <c r="C590" s="719"/>
      <c r="D590" s="719"/>
      <c r="E590" s="719"/>
      <c r="F590" s="718" t="s">
        <v>4</v>
      </c>
      <c r="G590" s="718" t="s">
        <v>625</v>
      </c>
      <c r="H590" s="719" t="s">
        <v>2971</v>
      </c>
      <c r="I590" s="720">
        <v>-15</v>
      </c>
      <c r="J590" s="720">
        <v>-13</v>
      </c>
      <c r="K590" s="720">
        <v>-28</v>
      </c>
      <c r="L590" s="149" t="str">
        <f t="shared" si="45"/>
        <v>430U@</v>
      </c>
      <c r="M590" s="150" t="str">
        <f t="shared" si="46"/>
        <v># DE VTE - ASSIS USU NEUF BMW AUTO</v>
      </c>
      <c r="N590" s="151">
        <f>+IF(OR($Q590=Parametres!$G$2,$Q590=Parametres!$G$3),I590,C590)</f>
        <v>-15</v>
      </c>
      <c r="O590" s="504">
        <f>+IF(OR($Q590=Parametres!$G$2,$Q590=Parametres!$G$3),J590,D590)</f>
        <v>-13</v>
      </c>
      <c r="P590" s="151">
        <f>+IF(OR($Q590=Parametres!$G$2,$Q590=Parametres!$G$3),K590,E590)</f>
        <v>-28</v>
      </c>
      <c r="Q590" s="150" t="str">
        <f t="shared" si="47"/>
        <v>10-Compte compteur</v>
      </c>
      <c r="R590" s="149" t="str">
        <f t="shared" si="48"/>
        <v>430</v>
      </c>
      <c r="S590" s="150" t="str">
        <f t="shared" si="49"/>
        <v>_</v>
      </c>
      <c r="T590" s="152" t="str">
        <f>+VLOOKUP($L590,Data_Validation!$A:$D,1,0)</f>
        <v>430U@</v>
      </c>
      <c r="U590" s="152" t="str">
        <f>+VLOOKUP($L590,Data_Validation!$A:$D,3,0)</f>
        <v>Véhicules neufs</v>
      </c>
      <c r="V590" s="152" t="str">
        <f>+VLOOKUP($L590,Data_Validation!$A:$D,4,0)</f>
        <v>Rev. Protections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customHeight="1">
      <c r="A591" s="718" t="s">
        <v>2063</v>
      </c>
      <c r="B591" s="718" t="s">
        <v>2064</v>
      </c>
      <c r="C591" s="719"/>
      <c r="D591" s="719"/>
      <c r="E591" s="719"/>
      <c r="F591" s="718" t="s">
        <v>4</v>
      </c>
      <c r="G591" s="718" t="s">
        <v>2012</v>
      </c>
      <c r="H591" s="719" t="s">
        <v>2971</v>
      </c>
      <c r="I591" s="720">
        <v>-3</v>
      </c>
      <c r="J591" s="720">
        <v>0</v>
      </c>
      <c r="K591" s="720">
        <v>-3</v>
      </c>
      <c r="L591" s="149" t="str">
        <f t="shared" si="45"/>
        <v>432@</v>
      </c>
      <c r="M591" s="150" t="str">
        <f t="shared" si="46"/>
        <v># DE VTE - 530E XDRIVE</v>
      </c>
      <c r="N591" s="151">
        <f>+IF(OR($Q591=Parametres!$G$2,$Q591=Parametres!$G$3),I591,C591)</f>
        <v>-3</v>
      </c>
      <c r="O591" s="505">
        <f>+IF(OR($Q591=Parametres!$G$2,$Q591=Parametres!$G$3),J591,D591)</f>
        <v>0</v>
      </c>
      <c r="P591" s="151">
        <f>+IF(OR($Q591=Parametres!$G$2,$Q591=Parametres!$G$3),K591,E591)</f>
        <v>-3</v>
      </c>
      <c r="Q591" s="150" t="str">
        <f t="shared" si="47"/>
        <v>10-Compte compteur</v>
      </c>
      <c r="R591" s="149" t="str">
        <f t="shared" si="48"/>
        <v>432</v>
      </c>
      <c r="S591" s="150" t="str">
        <f t="shared" si="49"/>
        <v>_</v>
      </c>
      <c r="T591" s="152" t="str">
        <f>+VLOOKUP($L591,Data_Validation!$A:$D,1,0)</f>
        <v>432@</v>
      </c>
      <c r="U591" s="152" t="str">
        <f>+VLOOKUP($L591,Data_Validation!$A:$D,3,0)</f>
        <v>Véhicules neufs</v>
      </c>
      <c r="V591" s="152" t="str">
        <f>+VLOOKUP($L591,Data_Validation!$A:$D,4,0)</f>
        <v>Autos détail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customHeight="1">
      <c r="A592" s="718" t="s">
        <v>1524</v>
      </c>
      <c r="B592" s="718" t="s">
        <v>721</v>
      </c>
      <c r="C592" s="719"/>
      <c r="D592" s="719"/>
      <c r="E592" s="719"/>
      <c r="F592" s="718" t="s">
        <v>4</v>
      </c>
      <c r="G592" s="718" t="s">
        <v>2012</v>
      </c>
      <c r="H592" s="719" t="s">
        <v>2971</v>
      </c>
      <c r="I592" s="720">
        <v>-3</v>
      </c>
      <c r="J592" s="720">
        <v>-5</v>
      </c>
      <c r="K592" s="720">
        <v>-8</v>
      </c>
      <c r="L592" s="149" t="str">
        <f t="shared" si="45"/>
        <v>432A@</v>
      </c>
      <c r="M592" s="150" t="str">
        <f t="shared" si="46"/>
        <v># DE VTE - GAR PROL NEUF BMW AUTO</v>
      </c>
      <c r="N592" s="151">
        <f>+IF(OR($Q592=Parametres!$G$2,$Q592=Parametres!$G$3),I592,C592)</f>
        <v>-3</v>
      </c>
      <c r="O592" s="504">
        <f>+IF(OR($Q592=Parametres!$G$2,$Q592=Parametres!$G$3),J592,D592)</f>
        <v>-5</v>
      </c>
      <c r="P592" s="151">
        <f>+IF(OR($Q592=Parametres!$G$2,$Q592=Parametres!$G$3),K592,E592)</f>
        <v>-8</v>
      </c>
      <c r="Q592" s="150" t="str">
        <f t="shared" si="47"/>
        <v>10-Compte compteur</v>
      </c>
      <c r="R592" s="149" t="str">
        <f t="shared" si="48"/>
        <v>432</v>
      </c>
      <c r="S592" s="150" t="str">
        <f t="shared" si="49"/>
        <v>_</v>
      </c>
      <c r="T592" s="152" t="str">
        <f>+VLOOKUP($L592,Data_Validation!$A:$D,1,0)</f>
        <v>432A@</v>
      </c>
      <c r="U592" s="152" t="str">
        <f>+VLOOKUP($L592,Data_Validation!$A:$D,3,0)</f>
        <v>Véhicules neufs</v>
      </c>
      <c r="V592" s="152" t="str">
        <f>+VLOOKUP($L592,Data_Validation!$A:$D,4,0)</f>
        <v>Rev. Protections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customHeight="1">
      <c r="A593" s="718" t="s">
        <v>2109</v>
      </c>
      <c r="B593" s="718" t="s">
        <v>2108</v>
      </c>
      <c r="C593" s="719"/>
      <c r="D593" s="719"/>
      <c r="E593" s="719"/>
      <c r="F593" s="718" t="s">
        <v>4</v>
      </c>
      <c r="G593" s="718" t="s">
        <v>2360</v>
      </c>
      <c r="H593" s="719" t="s">
        <v>2971</v>
      </c>
      <c r="I593" s="720">
        <v>-16</v>
      </c>
      <c r="J593" s="720">
        <v>-12</v>
      </c>
      <c r="K593" s="720">
        <v>-28</v>
      </c>
      <c r="L593" s="149" t="str">
        <f t="shared" si="45"/>
        <v>434A@</v>
      </c>
      <c r="M593" s="150" t="str">
        <f t="shared" si="46"/>
        <v># DE VTE - CONT ENTR NEUF BMW AUTO</v>
      </c>
      <c r="N593" s="151">
        <f>+IF(OR($Q593=Parametres!$G$2,$Q593=Parametres!$G$3),I593,C593)</f>
        <v>-16</v>
      </c>
      <c r="O593" s="505">
        <f>+IF(OR($Q593=Parametres!$G$2,$Q593=Parametres!$G$3),J593,D593)</f>
        <v>-12</v>
      </c>
      <c r="P593" s="151">
        <f>+IF(OR($Q593=Parametres!$G$2,$Q593=Parametres!$G$3),K593,E593)</f>
        <v>-28</v>
      </c>
      <c r="Q593" s="150" t="str">
        <f t="shared" si="47"/>
        <v>10-Compte compteur</v>
      </c>
      <c r="R593" s="149" t="str">
        <f t="shared" si="48"/>
        <v>434</v>
      </c>
      <c r="S593" s="150" t="str">
        <f t="shared" si="49"/>
        <v>_</v>
      </c>
      <c r="T593" s="152" t="str">
        <f>+VLOOKUP($L593,Data_Validation!$A:$D,1,0)</f>
        <v>434A@</v>
      </c>
      <c r="U593" s="152" t="str">
        <f>+VLOOKUP($L593,Data_Validation!$A:$D,3,0)</f>
        <v>Véhicules neufs</v>
      </c>
      <c r="V593" s="152" t="str">
        <f>+VLOOKUP($L593,Data_Validation!$A:$D,4,0)</f>
        <v>Rev. Protections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718" t="s">
        <v>1525</v>
      </c>
      <c r="B594" s="718" t="s">
        <v>722</v>
      </c>
      <c r="C594" s="720"/>
      <c r="D594" s="720"/>
      <c r="E594" s="720"/>
      <c r="F594" s="718" t="s">
        <v>4</v>
      </c>
      <c r="G594" s="718" t="s">
        <v>420</v>
      </c>
      <c r="H594" s="673" t="s">
        <v>2971</v>
      </c>
      <c r="I594" s="672">
        <v>-6</v>
      </c>
      <c r="J594" s="672">
        <v>-2</v>
      </c>
      <c r="K594" s="672">
        <v>-8</v>
      </c>
      <c r="L594" s="149" t="str">
        <f t="shared" si="45"/>
        <v>440A@</v>
      </c>
      <c r="M594" s="150" t="str">
        <f t="shared" si="46"/>
        <v># DE VTE - USAGE BMW AUTO CERT</v>
      </c>
      <c r="N594" s="151">
        <f>+IF(OR($Q594=Parametres!$G$2,$Q594=Parametres!$G$3),I594,C594)</f>
        <v>-6</v>
      </c>
      <c r="O594" s="151">
        <f>+IF(OR($Q594=Parametres!$G$2,$Q594=Parametres!$G$3),J594,D594)</f>
        <v>-2</v>
      </c>
      <c r="P594" s="151">
        <f>+IF(OR($Q594=Parametres!$G$2,$Q594=Parametres!$G$3),K594,E594)</f>
        <v>-8</v>
      </c>
      <c r="Q594" s="150" t="str">
        <f t="shared" si="47"/>
        <v>10-Compte compteur</v>
      </c>
      <c r="R594" s="149" t="str">
        <f t="shared" si="48"/>
        <v>440A</v>
      </c>
      <c r="S594" s="150" t="str">
        <f t="shared" si="49"/>
        <v>_</v>
      </c>
      <c r="T594" s="152" t="str">
        <f>+VLOOKUP($L594,Data_Validation!$A:$D,1,0)</f>
        <v>440A@</v>
      </c>
      <c r="U594" s="152" t="str">
        <f>+VLOOKUP($L594,Data_Validation!$A:$D,3,0)</f>
        <v>Véhicules usagés</v>
      </c>
      <c r="V594" s="152" t="str">
        <f>+VLOOKUP($L594,Data_Validation!$A:$D,4,0)</f>
        <v>Certifié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718" t="s">
        <v>1526</v>
      </c>
      <c r="B595" s="718" t="s">
        <v>723</v>
      </c>
      <c r="C595" s="720"/>
      <c r="D595" s="720"/>
      <c r="E595" s="720"/>
      <c r="F595" s="718" t="s">
        <v>4</v>
      </c>
      <c r="G595" s="718" t="s">
        <v>416</v>
      </c>
      <c r="H595" s="673" t="s">
        <v>2971</v>
      </c>
      <c r="I595" s="672">
        <v>-7</v>
      </c>
      <c r="J595" s="672">
        <v>-8</v>
      </c>
      <c r="K595" s="672">
        <v>-15</v>
      </c>
      <c r="L595" s="149" t="str">
        <f t="shared" si="45"/>
        <v>440B@</v>
      </c>
      <c r="M595" s="150" t="str">
        <f t="shared" si="46"/>
        <v># DE VTE - USAGE BMW AUTO NON-CERT</v>
      </c>
      <c r="N595" s="151">
        <f>+IF(OR($Q595=Parametres!$G$2,$Q595=Parametres!$G$3),I595,C595)</f>
        <v>-7</v>
      </c>
      <c r="O595" s="151">
        <f>+IF(OR($Q595=Parametres!$G$2,$Q595=Parametres!$G$3),J595,D595)</f>
        <v>-8</v>
      </c>
      <c r="P595" s="151">
        <f>+IF(OR($Q595=Parametres!$G$2,$Q595=Parametres!$G$3),K595,E595)</f>
        <v>-15</v>
      </c>
      <c r="Q595" s="150" t="str">
        <f t="shared" si="47"/>
        <v>10-Compte compteur</v>
      </c>
      <c r="R595" s="149" t="str">
        <f t="shared" si="48"/>
        <v>440B</v>
      </c>
      <c r="S595" s="150" t="str">
        <f t="shared" si="49"/>
        <v>_</v>
      </c>
      <c r="T595" s="152" t="str">
        <f>+VLOOKUP($L595,Data_Validation!$A:$D,1,0)</f>
        <v>440B@</v>
      </c>
      <c r="U595" s="152" t="str">
        <f>+VLOOKUP($L595,Data_Validation!$A:$D,3,0)</f>
        <v>Véhicules usagés</v>
      </c>
      <c r="V595" s="152" t="str">
        <f>+VLOOKUP($L595,Data_Validation!$A:$D,4,0)</f>
        <v>Non Certifié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718" t="s">
        <v>1527</v>
      </c>
      <c r="B596" s="718" t="s">
        <v>724</v>
      </c>
      <c r="C596" s="720"/>
      <c r="D596" s="720"/>
      <c r="E596" s="720"/>
      <c r="F596" s="718" t="s">
        <v>4</v>
      </c>
      <c r="G596" s="718" t="s">
        <v>384</v>
      </c>
      <c r="H596" s="607" t="s">
        <v>2971</v>
      </c>
      <c r="I596" s="153">
        <v>-16</v>
      </c>
      <c r="J596" s="153">
        <v>-5</v>
      </c>
      <c r="K596" s="153">
        <v>-21</v>
      </c>
      <c r="L596" s="149" t="str">
        <f t="shared" si="45"/>
        <v>442@</v>
      </c>
      <c r="M596" s="150" t="str">
        <f t="shared" si="46"/>
        <v># DE VTE - USAGE AUTRES</v>
      </c>
      <c r="N596" s="151">
        <f>+IF(OR($Q596=Parametres!$G$2,$Q596=Parametres!$G$3),I596,C596)</f>
        <v>-16</v>
      </c>
      <c r="O596" s="151">
        <f>+IF(OR($Q596=Parametres!$G$2,$Q596=Parametres!$G$3),J596,D596)</f>
        <v>-5</v>
      </c>
      <c r="P596" s="151">
        <f>+IF(OR($Q596=Parametres!$G$2,$Q596=Parametres!$G$3),K596,E596)</f>
        <v>-21</v>
      </c>
      <c r="Q596" s="150" t="str">
        <f t="shared" si="47"/>
        <v>10-Compte compteur</v>
      </c>
      <c r="R596" s="149" t="str">
        <f t="shared" si="48"/>
        <v>442</v>
      </c>
      <c r="S596" s="150" t="str">
        <f t="shared" si="49"/>
        <v>_</v>
      </c>
      <c r="T596" s="152" t="str">
        <f>+VLOOKUP($L596,Data_Validation!$A:$D,1,0)</f>
        <v>442@</v>
      </c>
      <c r="U596" s="152" t="str">
        <f>+VLOOKUP($L596,Data_Validation!$A:$D,3,0)</f>
        <v>Véhicules usagés</v>
      </c>
      <c r="V596" s="152" t="str">
        <f>+VLOOKUP($L596,Data_Validation!$A:$D,4,0)</f>
        <v>Autres marques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718" t="s">
        <v>1528</v>
      </c>
      <c r="B597" s="718" t="s">
        <v>1529</v>
      </c>
      <c r="C597" s="720"/>
      <c r="D597" s="720"/>
      <c r="E597" s="720"/>
      <c r="F597" s="718" t="s">
        <v>4</v>
      </c>
      <c r="G597" s="718" t="s">
        <v>1072</v>
      </c>
      <c r="H597" s="719" t="s">
        <v>2971</v>
      </c>
      <c r="I597" s="719">
        <v>-2</v>
      </c>
      <c r="J597" s="719">
        <v>-1</v>
      </c>
      <c r="K597" s="719">
        <v>-3</v>
      </c>
      <c r="L597" s="149" t="str">
        <f t="shared" si="45"/>
        <v>444A@</v>
      </c>
      <c r="M597" s="150" t="str">
        <f t="shared" si="46"/>
        <v># DE VTE - GROS BMW AUTO</v>
      </c>
      <c r="N597" s="151">
        <f>+IF(OR($Q597=Parametres!$G$2,$Q597=Parametres!$G$3),I597,C597)</f>
        <v>-2</v>
      </c>
      <c r="O597" s="151">
        <f>+IF(OR($Q597=Parametres!$G$2,$Q597=Parametres!$G$3),J597,D597)</f>
        <v>-1</v>
      </c>
      <c r="P597" s="151">
        <f>+IF(OR($Q597=Parametres!$G$2,$Q597=Parametres!$G$3),K597,E597)</f>
        <v>-3</v>
      </c>
      <c r="Q597" s="150" t="str">
        <f t="shared" si="47"/>
        <v>10-Compte compteur</v>
      </c>
      <c r="R597" s="149" t="str">
        <f t="shared" si="48"/>
        <v>444A</v>
      </c>
      <c r="S597" s="150" t="str">
        <f t="shared" si="49"/>
        <v>_</v>
      </c>
      <c r="T597" s="152" t="str">
        <f>+VLOOKUP($L597,Data_Validation!$A:$D,1,0)</f>
        <v>444A@</v>
      </c>
      <c r="U597" s="152" t="str">
        <f>+VLOOKUP($L597,Data_Validation!$A:$D,3,0)</f>
        <v>Véhicules usagés</v>
      </c>
      <c r="V597" s="152" t="str">
        <f>+VLOOKUP($L597,Data_Validation!$A:$D,4,0)</f>
        <v>Ventes au Gros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718" t="s">
        <v>1530</v>
      </c>
      <c r="B598" s="718" t="s">
        <v>725</v>
      </c>
      <c r="C598" s="720"/>
      <c r="D598" s="720"/>
      <c r="E598" s="720"/>
      <c r="F598" s="718" t="s">
        <v>4</v>
      </c>
      <c r="G598" s="718" t="s">
        <v>398</v>
      </c>
      <c r="H598" s="719" t="s">
        <v>2971</v>
      </c>
      <c r="I598" s="719">
        <v>-6</v>
      </c>
      <c r="J598" s="719">
        <v>0</v>
      </c>
      <c r="K598" s="719">
        <v>-6</v>
      </c>
      <c r="L598" s="149" t="str">
        <f t="shared" si="45"/>
        <v>444B@</v>
      </c>
      <c r="M598" s="150" t="str">
        <f t="shared" si="46"/>
        <v># DE VTE - GROS BMW CAMION</v>
      </c>
      <c r="N598" s="151">
        <f>+IF(OR($Q598=Parametres!$G$2,$Q598=Parametres!$G$3),I598,C598)</f>
        <v>-6</v>
      </c>
      <c r="O598" s="504">
        <f>+IF(OR($Q598=Parametres!$G$2,$Q598=Parametres!$G$3),J598,D598)</f>
        <v>0</v>
      </c>
      <c r="P598" s="151">
        <f>+IF(OR($Q598=Parametres!$G$2,$Q598=Parametres!$G$3),K598,E598)</f>
        <v>-6</v>
      </c>
      <c r="Q598" s="150" t="str">
        <f t="shared" si="47"/>
        <v>10-Compte compteur</v>
      </c>
      <c r="R598" s="149" t="str">
        <f t="shared" si="48"/>
        <v>444B</v>
      </c>
      <c r="S598" s="150" t="str">
        <f t="shared" si="49"/>
        <v>_</v>
      </c>
      <c r="T598" s="152" t="str">
        <f>+VLOOKUP($L598,Data_Validation!$A:$D,1,0)</f>
        <v>444B@</v>
      </c>
      <c r="U598" s="152" t="str">
        <f>+VLOOKUP($L598,Data_Validation!$A:$D,3,0)</f>
        <v>Véhicules usagés</v>
      </c>
      <c r="V598" s="152" t="str">
        <f>+VLOOKUP($L598,Data_Validation!$A:$D,4,0)</f>
        <v>Ventes au Gros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718" t="s">
        <v>1531</v>
      </c>
      <c r="B599" s="718" t="s">
        <v>726</v>
      </c>
      <c r="C599" s="720"/>
      <c r="D599" s="720"/>
      <c r="E599" s="720"/>
      <c r="F599" s="718" t="s">
        <v>4</v>
      </c>
      <c r="G599" s="718" t="s">
        <v>401</v>
      </c>
      <c r="H599" s="719" t="s">
        <v>2971</v>
      </c>
      <c r="I599" s="719">
        <v>-32</v>
      </c>
      <c r="J599" s="719">
        <v>-14</v>
      </c>
      <c r="K599" s="719">
        <v>-46</v>
      </c>
      <c r="L599" s="149" t="str">
        <f t="shared" si="45"/>
        <v>444C@</v>
      </c>
      <c r="M599" s="150" t="str">
        <f t="shared" si="46"/>
        <v># DE VTE - GROS AUTRE</v>
      </c>
      <c r="N599" s="151">
        <f>+IF(OR($Q599=Parametres!$G$2,$Q599=Parametres!$G$3),I599,C599)</f>
        <v>-32</v>
      </c>
      <c r="O599" s="151">
        <f>+IF(OR($Q599=Parametres!$G$2,$Q599=Parametres!$G$3),J599,D599)</f>
        <v>-14</v>
      </c>
      <c r="P599" s="151">
        <f>+IF(OR($Q599=Parametres!$G$2,$Q599=Parametres!$G$3),K599,E599)</f>
        <v>-46</v>
      </c>
      <c r="Q599" s="150" t="str">
        <f t="shared" si="47"/>
        <v>10-Compte compteur</v>
      </c>
      <c r="R599" s="149" t="str">
        <f t="shared" si="48"/>
        <v>444C</v>
      </c>
      <c r="S599" s="150" t="str">
        <f t="shared" si="49"/>
        <v>_</v>
      </c>
      <c r="T599" s="152" t="str">
        <f>+VLOOKUP($L599,Data_Validation!$A:$D,1,0)</f>
        <v>444C@</v>
      </c>
      <c r="U599" s="152" t="str">
        <f>+VLOOKUP($L599,Data_Validation!$A:$D,3,0)</f>
        <v>Véhicules usagés</v>
      </c>
      <c r="V599" s="152" t="str">
        <f>+VLOOKUP($L599,Data_Validation!$A:$D,4,0)</f>
        <v>Ventes au Gros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718" t="s">
        <v>1532</v>
      </c>
      <c r="B600" s="718" t="s">
        <v>727</v>
      </c>
      <c r="C600" s="720"/>
      <c r="D600" s="720"/>
      <c r="E600" s="720"/>
      <c r="F600" s="718" t="s">
        <v>4</v>
      </c>
      <c r="G600" s="718" t="s">
        <v>418</v>
      </c>
      <c r="H600" s="607" t="s">
        <v>2971</v>
      </c>
      <c r="I600" s="153">
        <v>-7</v>
      </c>
      <c r="J600" s="153">
        <v>-3</v>
      </c>
      <c r="K600" s="153">
        <v>-10</v>
      </c>
      <c r="L600" s="149" t="str">
        <f t="shared" si="45"/>
        <v>446A@</v>
      </c>
      <c r="M600" s="150" t="str">
        <f t="shared" si="46"/>
        <v># DE VTE - USAGE BMW CAMION CERT</v>
      </c>
      <c r="N600" s="151">
        <f>+IF(OR($Q600=Parametres!$G$2,$Q600=Parametres!$G$3),I600,C600)</f>
        <v>-7</v>
      </c>
      <c r="O600" s="151">
        <f>+IF(OR($Q600=Parametres!$G$2,$Q600=Parametres!$G$3),J600,D600)</f>
        <v>-3</v>
      </c>
      <c r="P600" s="151">
        <f>+IF(OR($Q600=Parametres!$G$2,$Q600=Parametres!$G$3),K600,E600)</f>
        <v>-10</v>
      </c>
      <c r="Q600" s="150" t="str">
        <f t="shared" si="47"/>
        <v>10-Compte compteur</v>
      </c>
      <c r="R600" s="149" t="str">
        <f t="shared" si="48"/>
        <v>446A</v>
      </c>
      <c r="S600" s="150" t="str">
        <f t="shared" si="49"/>
        <v>_</v>
      </c>
      <c r="T600" s="152" t="str">
        <f>+VLOOKUP($L600,Data_Validation!$A:$D,1,0)</f>
        <v>446A@</v>
      </c>
      <c r="U600" s="152" t="str">
        <f>+VLOOKUP($L600,Data_Validation!$A:$D,3,0)</f>
        <v>Véhicules usagés</v>
      </c>
      <c r="V600" s="152" t="str">
        <f>+VLOOKUP($L600,Data_Validation!$A:$D,4,0)</f>
        <v>Certifié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718" t="s">
        <v>1533</v>
      </c>
      <c r="B601" s="718" t="s">
        <v>728</v>
      </c>
      <c r="C601" s="720"/>
      <c r="D601" s="720"/>
      <c r="E601" s="720"/>
      <c r="F601" s="718" t="s">
        <v>4</v>
      </c>
      <c r="G601" s="718" t="s">
        <v>404</v>
      </c>
      <c r="H601" s="607" t="s">
        <v>2971</v>
      </c>
      <c r="I601" s="153">
        <v>-8</v>
      </c>
      <c r="J601" s="153">
        <v>-4</v>
      </c>
      <c r="K601" s="153">
        <v>-12</v>
      </c>
      <c r="L601" s="149" t="str">
        <f t="shared" si="45"/>
        <v>446B@</v>
      </c>
      <c r="M601" s="150" t="str">
        <f t="shared" si="46"/>
        <v># DE VTE - USAGE BMW CAMION NON-CERT</v>
      </c>
      <c r="N601" s="151">
        <f>+IF(OR($Q601=Parametres!$G$2,$Q601=Parametres!$G$3),I601,C601)</f>
        <v>-8</v>
      </c>
      <c r="O601" s="504">
        <f>+IF(OR($Q601=Parametres!$G$2,$Q601=Parametres!$G$3),J601,D601)</f>
        <v>-4</v>
      </c>
      <c r="P601" s="151">
        <f>+IF(OR($Q601=Parametres!$G$2,$Q601=Parametres!$G$3),K601,E601)</f>
        <v>-12</v>
      </c>
      <c r="Q601" s="150" t="str">
        <f t="shared" si="47"/>
        <v>10-Compte compteur</v>
      </c>
      <c r="R601" s="149" t="str">
        <f t="shared" si="48"/>
        <v>446B</v>
      </c>
      <c r="S601" s="150" t="str">
        <f t="shared" si="49"/>
        <v>_</v>
      </c>
      <c r="T601" s="152" t="str">
        <f>+VLOOKUP($L601,Data_Validation!$A:$D,1,0)</f>
        <v>446B@</v>
      </c>
      <c r="U601" s="152" t="str">
        <f>+VLOOKUP($L601,Data_Validation!$A:$D,3,0)</f>
        <v>Véhicules usagés</v>
      </c>
      <c r="V601" s="152" t="str">
        <f>+VLOOKUP($L601,Data_Validation!$A:$D,4,0)</f>
        <v>Non Certifié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718" t="s">
        <v>1535</v>
      </c>
      <c r="B602" s="718" t="s">
        <v>730</v>
      </c>
      <c r="C602" s="720"/>
      <c r="D602" s="720"/>
      <c r="E602" s="720"/>
      <c r="F602" s="718" t="s">
        <v>4</v>
      </c>
      <c r="G602" s="718" t="s">
        <v>400</v>
      </c>
      <c r="H602" s="719" t="s">
        <v>2971</v>
      </c>
      <c r="I602" s="719">
        <v>-10</v>
      </c>
      <c r="J602" s="719">
        <v>-4</v>
      </c>
      <c r="K602" s="719">
        <v>-14</v>
      </c>
      <c r="L602" s="149" t="str">
        <f t="shared" si="45"/>
        <v>448@</v>
      </c>
      <c r="M602" s="150" t="str">
        <f t="shared" si="46"/>
        <v># DE VTE - RACHAT LOCATION BMW</v>
      </c>
      <c r="N602" s="151">
        <f>+IF(OR($Q602=Parametres!$G$2,$Q602=Parametres!$G$3),I602,C602)</f>
        <v>-10</v>
      </c>
      <c r="O602" s="504">
        <f>+IF(OR($Q602=Parametres!$G$2,$Q602=Parametres!$G$3),J602,D602)</f>
        <v>-4</v>
      </c>
      <c r="P602" s="151">
        <f>+IF(OR($Q602=Parametres!$G$2,$Q602=Parametres!$G$3),K602,E602)</f>
        <v>-14</v>
      </c>
      <c r="Q602" s="150" t="str">
        <f t="shared" si="47"/>
        <v>10-Compte compteur</v>
      </c>
      <c r="R602" s="149" t="str">
        <f t="shared" si="48"/>
        <v>448</v>
      </c>
      <c r="S602" s="150" t="str">
        <f t="shared" si="49"/>
        <v>_</v>
      </c>
      <c r="T602" s="152" t="str">
        <f>+VLOOKUP($L602,Data_Validation!$A:$D,1,0)</f>
        <v>448@</v>
      </c>
      <c r="U602" s="152" t="str">
        <f>+VLOOKUP($L602,Data_Validation!$A:$D,3,0)</f>
        <v>Véhicules neufs</v>
      </c>
      <c r="V602" s="152" t="str">
        <f>+VLOOKUP($L602,Data_Validation!$A:$D,4,0)</f>
        <v>Rachat bail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718" t="s">
        <v>1536</v>
      </c>
      <c r="B603" s="718" t="s">
        <v>1044</v>
      </c>
      <c r="C603" s="720"/>
      <c r="D603" s="720"/>
      <c r="E603" s="720"/>
      <c r="F603" s="718" t="s">
        <v>4</v>
      </c>
      <c r="G603" s="718" t="s">
        <v>1012</v>
      </c>
      <c r="H603" s="719" t="s">
        <v>2971</v>
      </c>
      <c r="I603" s="719">
        <v>-11</v>
      </c>
      <c r="J603" s="719">
        <v>-5</v>
      </c>
      <c r="K603" s="719">
        <v>-16</v>
      </c>
      <c r="L603" s="149" t="str">
        <f t="shared" si="45"/>
        <v>450@</v>
      </c>
      <c r="M603" s="150" t="str">
        <f t="shared" si="46"/>
        <v># DE VTE - MARQUAGE OTOPROTEC USAGE BMW AUTO</v>
      </c>
      <c r="N603" s="151">
        <f>+IF(OR($Q603=Parametres!$G$2,$Q603=Parametres!$G$3),I603,C603)</f>
        <v>-11</v>
      </c>
      <c r="O603" s="504">
        <f>+IF(OR($Q603=Parametres!$G$2,$Q603=Parametres!$G$3),J603,D603)</f>
        <v>-5</v>
      </c>
      <c r="P603" s="151">
        <f>+IF(OR($Q603=Parametres!$G$2,$Q603=Parametres!$G$3),K603,E603)</f>
        <v>-16</v>
      </c>
      <c r="Q603" s="150" t="str">
        <f t="shared" si="47"/>
        <v>10-Compte compteur</v>
      </c>
      <c r="R603" s="149" t="str">
        <f t="shared" si="48"/>
        <v>450</v>
      </c>
      <c r="S603" s="150" t="str">
        <f t="shared" si="49"/>
        <v>_</v>
      </c>
      <c r="T603" s="152" t="str">
        <f>+VLOOKUP($L603,Data_Validation!$A:$D,1,0)</f>
        <v>450@</v>
      </c>
      <c r="U603" s="152" t="str">
        <f>+VLOOKUP($L603,Data_Validation!$A:$D,3,0)</f>
        <v>Véhicules usagés</v>
      </c>
      <c r="V603" s="152" t="str">
        <f>+VLOOKUP($L603,Data_Validation!$A:$D,4,0)</f>
        <v>Rev. Autres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718" t="s">
        <v>1539</v>
      </c>
      <c r="B604" s="718" t="s">
        <v>1540</v>
      </c>
      <c r="C604" s="720"/>
      <c r="D604" s="720"/>
      <c r="E604" s="720"/>
      <c r="F604" s="718" t="s">
        <v>4</v>
      </c>
      <c r="G604" s="718" t="s">
        <v>1012</v>
      </c>
      <c r="H604" s="607" t="s">
        <v>2971</v>
      </c>
      <c r="I604" s="608">
        <v>-1</v>
      </c>
      <c r="J604" s="608">
        <v>0</v>
      </c>
      <c r="K604" s="608">
        <v>-1</v>
      </c>
      <c r="L604" s="149" t="str">
        <f t="shared" si="45"/>
        <v>450E@</v>
      </c>
      <c r="M604" s="150" t="str">
        <f t="shared" si="46"/>
        <v># DE SLS - PROTEC ESTHETIQUE USAGE BMW AUTO</v>
      </c>
      <c r="N604" s="151">
        <f>+IF(OR($Q604=Parametres!$G$2,$Q604=Parametres!$G$3),I604,C604)</f>
        <v>-1</v>
      </c>
      <c r="O604" s="151">
        <f>+IF(OR($Q604=Parametres!$G$2,$Q604=Parametres!$G$3),J604,D604)</f>
        <v>0</v>
      </c>
      <c r="P604" s="151">
        <f>+IF(OR($Q604=Parametres!$G$2,$Q604=Parametres!$G$3),K604,E604)</f>
        <v>-1</v>
      </c>
      <c r="Q604" s="150" t="str">
        <f t="shared" si="47"/>
        <v>10-Compte compteur</v>
      </c>
      <c r="R604" s="149" t="str">
        <f t="shared" si="48"/>
        <v>450</v>
      </c>
      <c r="S604" s="150" t="str">
        <f t="shared" si="49"/>
        <v>_</v>
      </c>
      <c r="T604" s="152" t="str">
        <f>+VLOOKUP($L604,Data_Validation!$A:$D,1,0)</f>
        <v>450E@</v>
      </c>
      <c r="U604" s="152" t="str">
        <f>+VLOOKUP($L604,Data_Validation!$A:$D,3,0)</f>
        <v>Véhicules usagés</v>
      </c>
      <c r="V604" s="152" t="str">
        <f>+VLOOKUP($L604,Data_Validation!$A:$D,4,0)</f>
        <v>Rev. Protections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718" t="s">
        <v>1541</v>
      </c>
      <c r="B605" s="718" t="s">
        <v>733</v>
      </c>
      <c r="C605" s="720"/>
      <c r="D605" s="720"/>
      <c r="E605" s="720"/>
      <c r="F605" s="718" t="s">
        <v>4</v>
      </c>
      <c r="G605" s="718" t="s">
        <v>1012</v>
      </c>
      <c r="H605" s="607" t="s">
        <v>2971</v>
      </c>
      <c r="I605" s="608">
        <v>-5</v>
      </c>
      <c r="J605" s="608">
        <v>-1</v>
      </c>
      <c r="K605" s="608">
        <v>-6</v>
      </c>
      <c r="L605" s="149" t="str">
        <f t="shared" si="45"/>
        <v>450F@</v>
      </c>
      <c r="M605" s="150" t="str">
        <f t="shared" si="46"/>
        <v># DE VTE - RIST FIN USAGE BMW AUTO</v>
      </c>
      <c r="N605" s="151">
        <f>+IF(OR($Q605=Parametres!$G$2,$Q605=Parametres!$G$3),I605,C605)</f>
        <v>-5</v>
      </c>
      <c r="O605" s="151">
        <f>+IF(OR($Q605=Parametres!$G$2,$Q605=Parametres!$G$3),J605,D605)</f>
        <v>-1</v>
      </c>
      <c r="P605" s="151">
        <f>+IF(OR($Q605=Parametres!$G$2,$Q605=Parametres!$G$3),K605,E605)</f>
        <v>-6</v>
      </c>
      <c r="Q605" s="150" t="str">
        <f t="shared" si="47"/>
        <v>10-Compte compteur</v>
      </c>
      <c r="R605" s="149" t="str">
        <f t="shared" si="48"/>
        <v>450</v>
      </c>
      <c r="S605" s="150" t="str">
        <f t="shared" si="49"/>
        <v>_</v>
      </c>
      <c r="T605" s="152" t="str">
        <f>+VLOOKUP($L605,Data_Validation!$A:$D,1,0)</f>
        <v>450F@</v>
      </c>
      <c r="U605" s="152" t="str">
        <f>+VLOOKUP($L605,Data_Validation!$A:$D,3,0)</f>
        <v>Véhicules usagés</v>
      </c>
      <c r="V605" s="152" t="str">
        <f>+VLOOKUP($L605,Data_Validation!$A:$D,4,0)</f>
        <v>Rev. Finances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718" t="s">
        <v>1552</v>
      </c>
      <c r="B606" s="718" t="s">
        <v>1553</v>
      </c>
      <c r="C606" s="720"/>
      <c r="D606" s="720"/>
      <c r="E606" s="720"/>
      <c r="F606" s="718" t="s">
        <v>4</v>
      </c>
      <c r="G606" s="718" t="s">
        <v>374</v>
      </c>
      <c r="H606" s="607" t="s">
        <v>2971</v>
      </c>
      <c r="I606" s="153">
        <v>-10</v>
      </c>
      <c r="J606" s="153">
        <v>-5</v>
      </c>
      <c r="K606" s="153">
        <v>-15</v>
      </c>
      <c r="L606" s="149" t="str">
        <f t="shared" si="45"/>
        <v>451@</v>
      </c>
      <c r="M606" s="150" t="str">
        <f t="shared" si="46"/>
        <v># DE VTE - MARQUAGE OTOPROTEC USAGE AUTRE</v>
      </c>
      <c r="N606" s="151">
        <f>+IF(OR($Q606=Parametres!$G$2,$Q606=Parametres!$G$3),I606,C606)</f>
        <v>-10</v>
      </c>
      <c r="O606" s="151">
        <f>+IF(OR($Q606=Parametres!$G$2,$Q606=Parametres!$G$3),J606,D606)</f>
        <v>-5</v>
      </c>
      <c r="P606" s="151">
        <f>+IF(OR($Q606=Parametres!$G$2,$Q606=Parametres!$G$3),K606,E606)</f>
        <v>-15</v>
      </c>
      <c r="Q606" s="150" t="str">
        <f t="shared" si="47"/>
        <v>10-Compte compteur</v>
      </c>
      <c r="R606" s="149" t="str">
        <f t="shared" si="48"/>
        <v>451</v>
      </c>
      <c r="S606" s="150" t="str">
        <f t="shared" si="49"/>
        <v>_</v>
      </c>
      <c r="T606" s="152" t="str">
        <f>+VLOOKUP($L606,Data_Validation!$A:$D,1,0)</f>
        <v>451@</v>
      </c>
      <c r="U606" s="152" t="str">
        <f>+VLOOKUP($L606,Data_Validation!$A:$D,3,0)</f>
        <v>Véhicules usagés</v>
      </c>
      <c r="V606" s="152" t="str">
        <f>+VLOOKUP($L606,Data_Validation!$A:$D,4,0)</f>
        <v>Rev. Autres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718" t="s">
        <v>2923</v>
      </c>
      <c r="B607" s="718" t="s">
        <v>2924</v>
      </c>
      <c r="C607" s="720"/>
      <c r="D607" s="720"/>
      <c r="E607" s="720"/>
      <c r="F607" s="718" t="s">
        <v>4</v>
      </c>
      <c r="G607" s="718" t="s">
        <v>374</v>
      </c>
      <c r="H607" s="673" t="s">
        <v>2971</v>
      </c>
      <c r="I607" s="672">
        <v>0</v>
      </c>
      <c r="J607" s="672">
        <v>-1</v>
      </c>
      <c r="K607" s="672">
        <v>-1</v>
      </c>
      <c r="L607" s="149" t="str">
        <f t="shared" si="45"/>
        <v>451R@</v>
      </c>
      <c r="M607" s="150" t="str">
        <f t="shared" si="46"/>
        <v># DE VTE - ASS. REMP. USAGE AUTRE</v>
      </c>
      <c r="N607" s="151">
        <f>+IF(OR($Q607=Parametres!$G$2,$Q607=Parametres!$G$3),I607,C607)</f>
        <v>0</v>
      </c>
      <c r="O607" s="151">
        <f>+IF(OR($Q607=Parametres!$G$2,$Q607=Parametres!$G$3),J607,D607)</f>
        <v>-1</v>
      </c>
      <c r="P607" s="151">
        <f>+IF(OR($Q607=Parametres!$G$2,$Q607=Parametres!$G$3),K607,E607)</f>
        <v>-1</v>
      </c>
      <c r="Q607" s="150" t="str">
        <f t="shared" si="47"/>
        <v>10-Compte compteur</v>
      </c>
      <c r="R607" s="149" t="str">
        <f t="shared" si="48"/>
        <v>451</v>
      </c>
      <c r="S607" s="150" t="str">
        <f t="shared" si="49"/>
        <v>_</v>
      </c>
      <c r="T607" s="152" t="str">
        <f>+VLOOKUP($L607,Data_Validation!$A:$D,1,0)</f>
        <v>451R@</v>
      </c>
      <c r="U607" s="152" t="str">
        <f>+VLOOKUP($L607,Data_Validation!$A:$D,3,0)</f>
        <v>Véhicules usagés</v>
      </c>
      <c r="V607" s="152" t="str">
        <f>+VLOOKUP($L607,Data_Validation!$A:$D,4,0)</f>
        <v>Rev. Protections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718" t="s">
        <v>2211</v>
      </c>
      <c r="B608" s="718" t="s">
        <v>2212</v>
      </c>
      <c r="C608" s="720"/>
      <c r="D608" s="720"/>
      <c r="E608" s="720"/>
      <c r="F608" s="718" t="s">
        <v>4</v>
      </c>
      <c r="G608" s="718" t="s">
        <v>374</v>
      </c>
      <c r="H608" s="673" t="s">
        <v>2971</v>
      </c>
      <c r="I608" s="672">
        <v>0</v>
      </c>
      <c r="J608" s="672">
        <v>-1</v>
      </c>
      <c r="K608" s="672">
        <v>-1</v>
      </c>
      <c r="L608" s="149" t="str">
        <f t="shared" si="45"/>
        <v>451V@</v>
      </c>
      <c r="M608" s="150" t="str">
        <f t="shared" si="46"/>
        <v># DE VTE - ASS VIE/INV USAGE AUTRE</v>
      </c>
      <c r="N608" s="151">
        <f>+IF(OR($Q608=Parametres!$G$2,$Q608=Parametres!$G$3),I608,C608)</f>
        <v>0</v>
      </c>
      <c r="O608" s="504">
        <f>+IF(OR($Q608=Parametres!$G$2,$Q608=Parametres!$G$3),J608,D608)</f>
        <v>-1</v>
      </c>
      <c r="P608" s="151">
        <f>+IF(OR($Q608=Parametres!$G$2,$Q608=Parametres!$G$3),K608,E608)</f>
        <v>-1</v>
      </c>
      <c r="Q608" s="150" t="str">
        <f t="shared" si="47"/>
        <v>10-Compte compteur</v>
      </c>
      <c r="R608" s="149" t="str">
        <f t="shared" si="48"/>
        <v>451</v>
      </c>
      <c r="S608" s="150" t="str">
        <f t="shared" si="49"/>
        <v>_</v>
      </c>
      <c r="T608" s="152" t="str">
        <f>+VLOOKUP($L608,Data_Validation!$A:$D,1,0)</f>
        <v>451V@</v>
      </c>
      <c r="U608" s="152" t="str">
        <f>+VLOOKUP($L608,Data_Validation!$A:$D,3,0)</f>
        <v>Véhicules usagés</v>
      </c>
      <c r="V608" s="152" t="str">
        <f>+VLOOKUP($L608,Data_Validation!$A:$D,4,0)</f>
        <v>Rev. Protections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718" t="s">
        <v>1556</v>
      </c>
      <c r="B609" s="718" t="s">
        <v>734</v>
      </c>
      <c r="C609" s="720"/>
      <c r="D609" s="720"/>
      <c r="E609" s="720"/>
      <c r="F609" s="718" t="s">
        <v>4</v>
      </c>
      <c r="G609" s="718" t="s">
        <v>368</v>
      </c>
      <c r="H609" s="719" t="s">
        <v>2971</v>
      </c>
      <c r="I609" s="719">
        <v>-4</v>
      </c>
      <c r="J609" s="719">
        <v>-2</v>
      </c>
      <c r="K609" s="719">
        <v>-6</v>
      </c>
      <c r="L609" s="149" t="str">
        <f t="shared" si="45"/>
        <v>452@</v>
      </c>
      <c r="M609" s="150" t="str">
        <f t="shared" si="46"/>
        <v># DE VTE - GAR PROL USAGE BMW AUTO</v>
      </c>
      <c r="N609" s="151">
        <f>+IF(OR($Q609=Parametres!$G$2,$Q609=Parametres!$G$3),I609,C609)</f>
        <v>-4</v>
      </c>
      <c r="O609" s="504">
        <f>+IF(OR($Q609=Parametres!$G$2,$Q609=Parametres!$G$3),J609,D609)</f>
        <v>-2</v>
      </c>
      <c r="P609" s="151">
        <f>+IF(OR($Q609=Parametres!$G$2,$Q609=Parametres!$G$3),K609,E609)</f>
        <v>-6</v>
      </c>
      <c r="Q609" s="150" t="str">
        <f t="shared" si="47"/>
        <v>10-Compte compteur</v>
      </c>
      <c r="R609" s="149" t="str">
        <f t="shared" si="48"/>
        <v>452</v>
      </c>
      <c r="S609" s="150" t="str">
        <f t="shared" si="49"/>
        <v>_</v>
      </c>
      <c r="T609" s="152" t="str">
        <f>+VLOOKUP($L609,Data_Validation!$A:$D,1,0)</f>
        <v>452@</v>
      </c>
      <c r="U609" s="152" t="str">
        <f>+VLOOKUP($L609,Data_Validation!$A:$D,3,0)</f>
        <v>Véhicules usagés</v>
      </c>
      <c r="V609" s="152" t="str">
        <f>+VLOOKUP($L609,Data_Validation!$A:$D,4,0)</f>
        <v>Rev. Protections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71" t="s">
        <v>1993</v>
      </c>
      <c r="B610" s="671" t="s">
        <v>1994</v>
      </c>
      <c r="C610" s="672"/>
      <c r="D610" s="672"/>
      <c r="E610" s="672"/>
      <c r="F610" s="671" t="s">
        <v>4</v>
      </c>
      <c r="G610" s="671" t="s">
        <v>368</v>
      </c>
      <c r="H610" s="666" t="s">
        <v>2971</v>
      </c>
      <c r="I610" s="665">
        <v>-1</v>
      </c>
      <c r="J610" s="665">
        <v>-4</v>
      </c>
      <c r="K610" s="665">
        <v>-5</v>
      </c>
      <c r="L610" s="149" t="str">
        <f t="shared" si="45"/>
        <v>452C@</v>
      </c>
      <c r="M610" s="150" t="str">
        <f t="shared" si="46"/>
        <v># OF VTES -GAR PROL USAGE BMW NON-CERT</v>
      </c>
      <c r="N610" s="151">
        <f>+IF(OR($Q610=Parametres!$G$2,$Q610=Parametres!$G$3),I610,C610)</f>
        <v>-1</v>
      </c>
      <c r="O610" s="151">
        <f>+IF(OR($Q610=Parametres!$G$2,$Q610=Parametres!$G$3),J610,D610)</f>
        <v>-4</v>
      </c>
      <c r="P610" s="151">
        <f>+IF(OR($Q610=Parametres!$G$2,$Q610=Parametres!$G$3),K610,E610)</f>
        <v>-5</v>
      </c>
      <c r="Q610" s="150" t="str">
        <f t="shared" si="47"/>
        <v>10-Compte compteur</v>
      </c>
      <c r="R610" s="149" t="str">
        <f t="shared" si="48"/>
        <v>452</v>
      </c>
      <c r="S610" s="150" t="str">
        <f t="shared" si="49"/>
        <v>_</v>
      </c>
      <c r="T610" s="152" t="str">
        <f>+VLOOKUP($L610,Data_Validation!$A:$D,1,0)</f>
        <v>452C@</v>
      </c>
      <c r="U610" s="152" t="str">
        <f>+VLOOKUP($L610,Data_Validation!$A:$D,3,0)</f>
        <v>Véhicules usagés</v>
      </c>
      <c r="V610" s="152" t="str">
        <f>+VLOOKUP($L610,Data_Validation!$A:$D,4,0)</f>
        <v>Rev. Protections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71" t="s">
        <v>1558</v>
      </c>
      <c r="B611" s="671" t="s">
        <v>1559</v>
      </c>
      <c r="C611" s="672"/>
      <c r="D611" s="672"/>
      <c r="E611" s="672"/>
      <c r="F611" s="671" t="s">
        <v>4</v>
      </c>
      <c r="G611" s="671" t="s">
        <v>369</v>
      </c>
      <c r="H611" s="666" t="s">
        <v>2971</v>
      </c>
      <c r="I611" s="665">
        <v>-4</v>
      </c>
      <c r="J611" s="665">
        <v>-2</v>
      </c>
      <c r="K611" s="665">
        <v>-6</v>
      </c>
      <c r="L611" s="149" t="str">
        <f t="shared" si="45"/>
        <v>453@</v>
      </c>
      <c r="M611" s="150" t="str">
        <f t="shared" si="46"/>
        <v># DE VTE - RIST FINANCE USAGE AUTRE</v>
      </c>
      <c r="N611" s="151">
        <f>+IF(OR($Q611=Parametres!$G$2,$Q611=Parametres!$G$3),I611,C611)</f>
        <v>-4</v>
      </c>
      <c r="O611" s="151">
        <f>+IF(OR($Q611=Parametres!$G$2,$Q611=Parametres!$G$3),J611,D611)</f>
        <v>-2</v>
      </c>
      <c r="P611" s="151">
        <f>+IF(OR($Q611=Parametres!$G$2,$Q611=Parametres!$G$3),K611,E611)</f>
        <v>-6</v>
      </c>
      <c r="Q611" s="150" t="str">
        <f t="shared" si="47"/>
        <v>10-Compte compteur</v>
      </c>
      <c r="R611" s="149" t="str">
        <f t="shared" si="48"/>
        <v>453</v>
      </c>
      <c r="S611" s="150" t="str">
        <f t="shared" si="49"/>
        <v>_</v>
      </c>
      <c r="T611" s="152" t="str">
        <f>+VLOOKUP($L611,Data_Validation!$A:$D,1,0)</f>
        <v>453@</v>
      </c>
      <c r="U611" s="152" t="str">
        <f>+VLOOKUP($L611,Data_Validation!$A:$D,3,0)</f>
        <v>Véhicules usagés</v>
      </c>
      <c r="V611" s="152" t="str">
        <f>+VLOOKUP($L611,Data_Validation!$A:$D,4,0)</f>
        <v>Rev. Finances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71" t="s">
        <v>2377</v>
      </c>
      <c r="B612" s="671" t="s">
        <v>2378</v>
      </c>
      <c r="C612" s="672"/>
      <c r="D612" s="672"/>
      <c r="E612" s="672"/>
      <c r="F612" s="671" t="s">
        <v>4</v>
      </c>
      <c r="G612" s="671" t="s">
        <v>2361</v>
      </c>
      <c r="H612" s="666" t="s">
        <v>2971</v>
      </c>
      <c r="I612" s="665">
        <v>-2</v>
      </c>
      <c r="J612" s="665">
        <v>-1</v>
      </c>
      <c r="K612" s="665">
        <v>-3</v>
      </c>
      <c r="L612" s="149" t="str">
        <f t="shared" si="45"/>
        <v>454@</v>
      </c>
      <c r="M612" s="150" t="str">
        <f t="shared" si="46"/>
        <v># DE VTE - CONT ENTR USAGE BMW AUTO</v>
      </c>
      <c r="N612" s="151">
        <f>+IF(OR($Q612=Parametres!$G$2,$Q612=Parametres!$G$3),I612,C612)</f>
        <v>-2</v>
      </c>
      <c r="O612" s="151">
        <f>+IF(OR($Q612=Parametres!$G$2,$Q612=Parametres!$G$3),J612,D612)</f>
        <v>-1</v>
      </c>
      <c r="P612" s="151">
        <f>+IF(OR($Q612=Parametres!$G$2,$Q612=Parametres!$G$3),K612,E612)</f>
        <v>-3</v>
      </c>
      <c r="Q612" s="150" t="str">
        <f t="shared" si="47"/>
        <v>10-Compte compteur</v>
      </c>
      <c r="R612" s="149" t="str">
        <f t="shared" si="48"/>
        <v>454</v>
      </c>
      <c r="S612" s="150" t="str">
        <f t="shared" si="49"/>
        <v>_</v>
      </c>
      <c r="T612" s="152" t="str">
        <f>+VLOOKUP($L612,Data_Validation!$A:$D,1,0)</f>
        <v>454@</v>
      </c>
      <c r="U612" s="152" t="str">
        <f>+VLOOKUP($L612,Data_Validation!$A:$D,3,0)</f>
        <v>Véhicules usagés</v>
      </c>
      <c r="V612" s="152" t="str">
        <f>+VLOOKUP($L612,Data_Validation!$A:$D,4,0)</f>
        <v>Rev. Protections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71" t="s">
        <v>2182</v>
      </c>
      <c r="B613" s="671" t="s">
        <v>2183</v>
      </c>
      <c r="C613" s="672"/>
      <c r="D613" s="672"/>
      <c r="E613" s="672"/>
      <c r="F613" s="671" t="s">
        <v>4</v>
      </c>
      <c r="G613" s="671" t="s">
        <v>2361</v>
      </c>
      <c r="H613" s="666" t="s">
        <v>2971</v>
      </c>
      <c r="I613" s="665">
        <v>-10</v>
      </c>
      <c r="J613" s="665">
        <v>-3</v>
      </c>
      <c r="K613" s="665">
        <v>-13</v>
      </c>
      <c r="L613" s="149" t="str">
        <f t="shared" si="45"/>
        <v>454A@</v>
      </c>
      <c r="M613" s="150" t="str">
        <f t="shared" si="46"/>
        <v># OF VTES -CONT ENTRET USAGE BMW NON-CERT</v>
      </c>
      <c r="N613" s="151">
        <f>+IF(OR($Q613=Parametres!$G$2,$Q613=Parametres!$G$3),I613,C613)</f>
        <v>-10</v>
      </c>
      <c r="O613" s="151">
        <f>+IF(OR($Q613=Parametres!$G$2,$Q613=Parametres!$G$3),J613,D613)</f>
        <v>-3</v>
      </c>
      <c r="P613" s="151">
        <f>+IF(OR($Q613=Parametres!$G$2,$Q613=Parametres!$G$3),K613,E613)</f>
        <v>-13</v>
      </c>
      <c r="Q613" s="150" t="str">
        <f t="shared" si="47"/>
        <v>10-Compte compteur</v>
      </c>
      <c r="R613" s="149" t="str">
        <f t="shared" si="48"/>
        <v>454</v>
      </c>
      <c r="S613" s="150" t="str">
        <f t="shared" si="49"/>
        <v>_</v>
      </c>
      <c r="T613" s="152" t="str">
        <f>+VLOOKUP($L613,Data_Validation!$A:$D,1,0)</f>
        <v>454A@</v>
      </c>
      <c r="U613" s="152" t="str">
        <f>+VLOOKUP($L613,Data_Validation!$A:$D,3,0)</f>
        <v>Véhicules usagés</v>
      </c>
      <c r="V613" s="152" t="str">
        <f>+VLOOKUP($L613,Data_Validation!$A:$D,4,0)</f>
        <v>Rev. Protections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71" t="s">
        <v>2138</v>
      </c>
      <c r="B614" s="671" t="s">
        <v>2139</v>
      </c>
      <c r="C614" s="672"/>
      <c r="D614" s="672"/>
      <c r="E614" s="672"/>
      <c r="F614" s="671" t="s">
        <v>4</v>
      </c>
      <c r="G614" s="671" t="s">
        <v>1012</v>
      </c>
      <c r="H614" s="666" t="s">
        <v>2971</v>
      </c>
      <c r="I614" s="665">
        <v>0</v>
      </c>
      <c r="J614" s="665">
        <v>-1</v>
      </c>
      <c r="K614" s="665">
        <v>-1</v>
      </c>
      <c r="L614" s="149" t="str">
        <f t="shared" si="45"/>
        <v>454C@</v>
      </c>
      <c r="M614" s="150" t="str">
        <f t="shared" si="46"/>
        <v># OF VTES -ACCESSOIRES USAGE BMW NON-CERT</v>
      </c>
      <c r="N614" s="151">
        <f>+IF(OR($Q614=Parametres!$G$2,$Q614=Parametres!$G$3),I614,C614)</f>
        <v>0</v>
      </c>
      <c r="O614" s="151">
        <f>+IF(OR($Q614=Parametres!$G$2,$Q614=Parametres!$G$3),J614,D614)</f>
        <v>-1</v>
      </c>
      <c r="P614" s="151">
        <f>+IF(OR($Q614=Parametres!$G$2,$Q614=Parametres!$G$3),K614,E614)</f>
        <v>-1</v>
      </c>
      <c r="Q614" s="150" t="str">
        <f t="shared" si="47"/>
        <v>10-Compte compteur</v>
      </c>
      <c r="R614" s="149" t="str">
        <f t="shared" si="48"/>
        <v>450</v>
      </c>
      <c r="S614" s="150" t="str">
        <f t="shared" si="49"/>
        <v>_</v>
      </c>
      <c r="T614" s="152" t="str">
        <f>+VLOOKUP($L614,Data_Validation!$A:$D,1,0)</f>
        <v>454C@</v>
      </c>
      <c r="U614" s="152" t="str">
        <f>+VLOOKUP($L614,Data_Validation!$A:$D,3,0)</f>
        <v>Véhicules usagés</v>
      </c>
      <c r="V614" s="152" t="str">
        <f>+VLOOKUP($L614,Data_Validation!$A:$D,4,0)</f>
        <v>Rev. Autres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71" t="s">
        <v>2075</v>
      </c>
      <c r="B615" s="671" t="s">
        <v>2076</v>
      </c>
      <c r="C615" s="672"/>
      <c r="D615" s="672"/>
      <c r="E615" s="672"/>
      <c r="F615" s="671" t="s">
        <v>4</v>
      </c>
      <c r="G615" s="671" t="s">
        <v>1012</v>
      </c>
      <c r="H615" s="666" t="s">
        <v>2971</v>
      </c>
      <c r="I615" s="665">
        <v>0</v>
      </c>
      <c r="J615" s="665">
        <v>-1</v>
      </c>
      <c r="K615" s="665">
        <v>-1</v>
      </c>
      <c r="L615" s="149" t="str">
        <f t="shared" si="45"/>
        <v>454E@</v>
      </c>
      <c r="M615" s="150" t="str">
        <f t="shared" si="46"/>
        <v># OF VTES -PROTEC ESTHETIQUE USAGE BMW NON-CE</v>
      </c>
      <c r="N615" s="151">
        <f>+IF(OR($Q615=Parametres!$G$2,$Q615=Parametres!$G$3),I615,C615)</f>
        <v>0</v>
      </c>
      <c r="O615" s="151">
        <f>+IF(OR($Q615=Parametres!$G$2,$Q615=Parametres!$G$3),J615,D615)</f>
        <v>-1</v>
      </c>
      <c r="P615" s="151">
        <f>+IF(OR($Q615=Parametres!$G$2,$Q615=Parametres!$G$3),K615,E615)</f>
        <v>-1</v>
      </c>
      <c r="Q615" s="150" t="str">
        <f t="shared" si="47"/>
        <v>10-Compte compteur</v>
      </c>
      <c r="R615" s="149" t="str">
        <f t="shared" si="48"/>
        <v>450</v>
      </c>
      <c r="S615" s="150" t="str">
        <f t="shared" si="49"/>
        <v>_</v>
      </c>
      <c r="T615" s="152" t="str">
        <f>+VLOOKUP($L615,Data_Validation!$A:$D,1,0)</f>
        <v>454E@</v>
      </c>
      <c r="U615" s="152" t="str">
        <f>+VLOOKUP($L615,Data_Validation!$A:$D,3,0)</f>
        <v>Véhicules usagés</v>
      </c>
      <c r="V615" s="152" t="str">
        <f>+VLOOKUP($L615,Data_Validation!$A:$D,4,0)</f>
        <v>Rev. Protections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71" t="s">
        <v>1958</v>
      </c>
      <c r="B616" s="671" t="s">
        <v>1959</v>
      </c>
      <c r="C616" s="672"/>
      <c r="D616" s="672"/>
      <c r="E616" s="672"/>
      <c r="F616" s="671" t="s">
        <v>4</v>
      </c>
      <c r="G616" s="671" t="s">
        <v>1012</v>
      </c>
      <c r="H616" s="666" t="s">
        <v>2971</v>
      </c>
      <c r="I616" s="665">
        <v>-4</v>
      </c>
      <c r="J616" s="665">
        <v>-4</v>
      </c>
      <c r="K616" s="665">
        <v>-8</v>
      </c>
      <c r="L616" s="149" t="str">
        <f t="shared" si="45"/>
        <v>454F@</v>
      </c>
      <c r="M616" s="150" t="str">
        <f t="shared" si="46"/>
        <v># OF VTES -RIST FINANCE USAGE BMW NON-CERT</v>
      </c>
      <c r="N616" s="151">
        <f>+IF(OR($Q616=Parametres!$G$2,$Q616=Parametres!$G$3),I616,C616)</f>
        <v>-4</v>
      </c>
      <c r="O616" s="151">
        <f>+IF(OR($Q616=Parametres!$G$2,$Q616=Parametres!$G$3),J616,D616)</f>
        <v>-4</v>
      </c>
      <c r="P616" s="151">
        <f>+IF(OR($Q616=Parametres!$G$2,$Q616=Parametres!$G$3),K616,E616)</f>
        <v>-8</v>
      </c>
      <c r="Q616" s="150" t="str">
        <f t="shared" si="47"/>
        <v>10-Compte compteur</v>
      </c>
      <c r="R616" s="149" t="str">
        <f t="shared" si="48"/>
        <v>450</v>
      </c>
      <c r="S616" s="150" t="str">
        <f t="shared" si="49"/>
        <v>_</v>
      </c>
      <c r="T616" s="152" t="str">
        <f>+VLOOKUP($L616,Data_Validation!$A:$D,1,0)</f>
        <v>454F@</v>
      </c>
      <c r="U616" s="152" t="str">
        <f>+VLOOKUP($L616,Data_Validation!$A:$D,3,0)</f>
        <v>Véhicules usagés</v>
      </c>
      <c r="V616" s="152" t="str">
        <f>+VLOOKUP($L616,Data_Validation!$A:$D,4,0)</f>
        <v>Rev. Finances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71" t="s">
        <v>1960</v>
      </c>
      <c r="B617" s="671" t="s">
        <v>1961</v>
      </c>
      <c r="C617" s="672"/>
      <c r="D617" s="672"/>
      <c r="E617" s="672"/>
      <c r="F617" s="671" t="s">
        <v>4</v>
      </c>
      <c r="G617" s="671" t="s">
        <v>1012</v>
      </c>
      <c r="H617" s="666" t="s">
        <v>2971</v>
      </c>
      <c r="I617" s="665">
        <v>-13</v>
      </c>
      <c r="J617" s="665">
        <v>-9</v>
      </c>
      <c r="K617" s="665">
        <v>-22</v>
      </c>
      <c r="L617" s="149" t="str">
        <f t="shared" si="45"/>
        <v>454M@</v>
      </c>
      <c r="M617" s="150" t="str">
        <f t="shared" si="46"/>
        <v># OF VTES -MARQUAGE USAGE BMW NON-CERT</v>
      </c>
      <c r="N617" s="151">
        <f>+IF(OR($Q617=Parametres!$G$2,$Q617=Parametres!$G$3),I617,C617)</f>
        <v>-13</v>
      </c>
      <c r="O617" s="151">
        <f>+IF(OR($Q617=Parametres!$G$2,$Q617=Parametres!$G$3),J617,D617)</f>
        <v>-9</v>
      </c>
      <c r="P617" s="151">
        <f>+IF(OR($Q617=Parametres!$G$2,$Q617=Parametres!$G$3),K617,E617)</f>
        <v>-22</v>
      </c>
      <c r="Q617" s="150" t="str">
        <f t="shared" si="47"/>
        <v>10-Compte compteur</v>
      </c>
      <c r="R617" s="149" t="str">
        <f t="shared" si="48"/>
        <v>450</v>
      </c>
      <c r="S617" s="150" t="str">
        <f t="shared" si="49"/>
        <v>_</v>
      </c>
      <c r="T617" s="152" t="str">
        <f>+VLOOKUP($L617,Data_Validation!$A:$D,1,0)</f>
        <v>454M@</v>
      </c>
      <c r="U617" s="152" t="str">
        <f>+VLOOKUP($L617,Data_Validation!$A:$D,3,0)</f>
        <v>Véhicules usagés</v>
      </c>
      <c r="V617" s="152" t="str">
        <f>+VLOOKUP($L617,Data_Validation!$A:$D,4,0)</f>
        <v>Rev. Protections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71" t="s">
        <v>2435</v>
      </c>
      <c r="B618" s="671" t="s">
        <v>2436</v>
      </c>
      <c r="C618" s="672"/>
      <c r="D618" s="672"/>
      <c r="E618" s="672"/>
      <c r="F618" s="671" t="s">
        <v>4</v>
      </c>
      <c r="G618" s="671" t="s">
        <v>1012</v>
      </c>
      <c r="H618" s="666" t="s">
        <v>2971</v>
      </c>
      <c r="I618" s="665">
        <v>0</v>
      </c>
      <c r="J618" s="665">
        <v>-2</v>
      </c>
      <c r="K618" s="665">
        <v>-2</v>
      </c>
      <c r="L618" s="149" t="str">
        <f t="shared" si="45"/>
        <v>454R@</v>
      </c>
      <c r="M618" s="150" t="str">
        <f t="shared" si="46"/>
        <v># OF VTES -ASS. REMP. USAGE BMW NON-CERT</v>
      </c>
      <c r="N618" s="151">
        <f>+IF(OR($Q618=Parametres!$G$2,$Q618=Parametres!$G$3),I618,C618)</f>
        <v>0</v>
      </c>
      <c r="O618" s="151">
        <f>+IF(OR($Q618=Parametres!$G$2,$Q618=Parametres!$G$3),J618,D618)</f>
        <v>-2</v>
      </c>
      <c r="P618" s="151">
        <f>+IF(OR($Q618=Parametres!$G$2,$Q618=Parametres!$G$3),K618,E618)</f>
        <v>-2</v>
      </c>
      <c r="Q618" s="150" t="str">
        <f t="shared" si="47"/>
        <v>10-Compte compteur</v>
      </c>
      <c r="R618" s="149" t="str">
        <f t="shared" si="48"/>
        <v>450</v>
      </c>
      <c r="S618" s="150" t="str">
        <f t="shared" si="49"/>
        <v>_</v>
      </c>
      <c r="T618" s="152" t="str">
        <f>+VLOOKUP($L618,Data_Validation!$A:$D,1,0)</f>
        <v>454R@</v>
      </c>
      <c r="U618" s="152" t="str">
        <f>+VLOOKUP($L618,Data_Validation!$A:$D,3,0)</f>
        <v>Véhicules usagés</v>
      </c>
      <c r="V618" s="152" t="str">
        <f>+VLOOKUP($L618,Data_Validation!$A:$D,4,0)</f>
        <v>Rev. Protections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71" t="s">
        <v>2856</v>
      </c>
      <c r="B619" s="671" t="s">
        <v>2857</v>
      </c>
      <c r="C619" s="672"/>
      <c r="D619" s="672"/>
      <c r="E619" s="672"/>
      <c r="F619" s="671" t="s">
        <v>4</v>
      </c>
      <c r="G619" s="671" t="s">
        <v>1012</v>
      </c>
      <c r="H619" s="666" t="s">
        <v>2971</v>
      </c>
      <c r="I619" s="665">
        <v>0</v>
      </c>
      <c r="J619" s="665">
        <v>-2</v>
      </c>
      <c r="K619" s="665">
        <v>-2</v>
      </c>
      <c r="L619" s="149" t="str">
        <f t="shared" si="45"/>
        <v>454T@</v>
      </c>
      <c r="M619" s="150" t="str">
        <f t="shared" si="46"/>
        <v># OF VTES -TRAITEMENT OTOPROTEC USAGE BMW NON</v>
      </c>
      <c r="N619" s="151">
        <f>+IF(OR($Q619=Parametres!$G$2,$Q619=Parametres!$G$3),I619,C619)</f>
        <v>0</v>
      </c>
      <c r="O619" s="151">
        <f>+IF(OR($Q619=Parametres!$G$2,$Q619=Parametres!$G$3),J619,D619)</f>
        <v>-2</v>
      </c>
      <c r="P619" s="151">
        <f>+IF(OR($Q619=Parametres!$G$2,$Q619=Parametres!$G$3),K619,E619)</f>
        <v>-2</v>
      </c>
      <c r="Q619" s="150" t="str">
        <f t="shared" si="47"/>
        <v>10-Compte compteur</v>
      </c>
      <c r="R619" s="149" t="str">
        <f t="shared" si="48"/>
        <v>450</v>
      </c>
      <c r="S619" s="150" t="str">
        <f t="shared" si="49"/>
        <v>_</v>
      </c>
      <c r="T619" s="152" t="str">
        <f>+VLOOKUP($L619,Data_Validation!$A:$D,1,0)</f>
        <v>454T@</v>
      </c>
      <c r="U619" s="152" t="str">
        <f>+VLOOKUP($L619,Data_Validation!$A:$D,3,0)</f>
        <v>Véhicules usagés</v>
      </c>
      <c r="V619" s="152" t="str">
        <f>+VLOOKUP($L619,Data_Validation!$A:$D,4,0)</f>
        <v>Rev. Autres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71" t="s">
        <v>2405</v>
      </c>
      <c r="B620" s="671" t="s">
        <v>2406</v>
      </c>
      <c r="C620" s="672"/>
      <c r="D620" s="672"/>
      <c r="E620" s="672"/>
      <c r="F620" s="671" t="s">
        <v>4</v>
      </c>
      <c r="G620" s="671" t="s">
        <v>1012</v>
      </c>
      <c r="H620" s="666" t="s">
        <v>2971</v>
      </c>
      <c r="I620" s="665">
        <v>0</v>
      </c>
      <c r="J620" s="665">
        <v>-1</v>
      </c>
      <c r="K620" s="665">
        <v>-1</v>
      </c>
      <c r="L620" s="149" t="str">
        <f t="shared" si="45"/>
        <v>454V@</v>
      </c>
      <c r="M620" s="150" t="str">
        <f t="shared" si="46"/>
        <v># OF VTES -VTE - ASS VIE/INV USAGE BMW NON-CE</v>
      </c>
      <c r="N620" s="151">
        <f>+IF(OR($Q620=Parametres!$G$2,$Q620=Parametres!$G$3),I620,C620)</f>
        <v>0</v>
      </c>
      <c r="O620" s="151">
        <f>+IF(OR($Q620=Parametres!$G$2,$Q620=Parametres!$G$3),J620,D620)</f>
        <v>-1</v>
      </c>
      <c r="P620" s="151">
        <f>+IF(OR($Q620=Parametres!$G$2,$Q620=Parametres!$G$3),K620,E620)</f>
        <v>-1</v>
      </c>
      <c r="Q620" s="150" t="str">
        <f t="shared" si="47"/>
        <v>10-Compte compteur</v>
      </c>
      <c r="R620" s="149" t="str">
        <f t="shared" si="48"/>
        <v>450</v>
      </c>
      <c r="S620" s="150" t="str">
        <f t="shared" si="49"/>
        <v>_</v>
      </c>
      <c r="T620" s="152" t="str">
        <f>+VLOOKUP($L620,Data_Validation!$A:$D,1,0)</f>
        <v>454V@</v>
      </c>
      <c r="U620" s="152" t="str">
        <f>+VLOOKUP($L620,Data_Validation!$A:$D,3,0)</f>
        <v>Véhicules usagés</v>
      </c>
      <c r="V620" s="152" t="str">
        <f>+VLOOKUP($L620,Data_Validation!$A:$D,4,0)</f>
        <v>Rev. Protections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71" t="s">
        <v>1560</v>
      </c>
      <c r="B621" s="671" t="s">
        <v>738</v>
      </c>
      <c r="C621" s="672"/>
      <c r="D621" s="672"/>
      <c r="E621" s="672"/>
      <c r="F621" s="671" t="s">
        <v>4</v>
      </c>
      <c r="G621" s="671" t="s">
        <v>366</v>
      </c>
      <c r="H621" s="666" t="s">
        <v>2971</v>
      </c>
      <c r="I621" s="665">
        <v>0</v>
      </c>
      <c r="J621" s="665">
        <v>-1</v>
      </c>
      <c r="K621" s="665">
        <v>-1</v>
      </c>
      <c r="L621" s="149" t="str">
        <f t="shared" si="45"/>
        <v>455@</v>
      </c>
      <c r="M621" s="150" t="str">
        <f t="shared" si="46"/>
        <v># DE VTE - GAR PROLONGE USAGE AUTRE</v>
      </c>
      <c r="N621" s="151">
        <f>+IF(OR($Q621=Parametres!$G$2,$Q621=Parametres!$G$3),I621,C621)</f>
        <v>0</v>
      </c>
      <c r="O621" s="151">
        <f>+IF(OR($Q621=Parametres!$G$2,$Q621=Parametres!$G$3),J621,D621)</f>
        <v>-1</v>
      </c>
      <c r="P621" s="151">
        <f>+IF(OR($Q621=Parametres!$G$2,$Q621=Parametres!$G$3),K621,E621)</f>
        <v>-1</v>
      </c>
      <c r="Q621" s="150" t="str">
        <f t="shared" si="47"/>
        <v>10-Compte compteur</v>
      </c>
      <c r="R621" s="149" t="str">
        <f t="shared" si="48"/>
        <v>455</v>
      </c>
      <c r="S621" s="150" t="str">
        <f t="shared" si="49"/>
        <v>_</v>
      </c>
      <c r="T621" s="152" t="str">
        <f>+VLOOKUP($L621,Data_Validation!$A:$D,1,0)</f>
        <v>455@</v>
      </c>
      <c r="U621" s="152" t="str">
        <f>+VLOOKUP($L621,Data_Validation!$A:$D,3,0)</f>
        <v>Véhicules usagés</v>
      </c>
      <c r="V621" s="152" t="str">
        <f>+VLOOKUP($L621,Data_Validation!$A:$D,4,0)</f>
        <v>Rev. Protections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71" t="s">
        <v>1561</v>
      </c>
      <c r="B622" s="671" t="s">
        <v>739</v>
      </c>
      <c r="C622" s="672"/>
      <c r="D622" s="672"/>
      <c r="E622" s="672"/>
      <c r="F622" s="671" t="s">
        <v>4</v>
      </c>
      <c r="G622" s="671" t="s">
        <v>450</v>
      </c>
      <c r="H622" s="666" t="s">
        <v>2971</v>
      </c>
      <c r="I622" s="665">
        <v>-45</v>
      </c>
      <c r="J622" s="665">
        <v>-97</v>
      </c>
      <c r="K622" s="665">
        <v>-142</v>
      </c>
      <c r="L622" s="149" t="str">
        <f t="shared" si="45"/>
        <v>459A@</v>
      </c>
      <c r="M622" s="150" t="str">
        <f t="shared" si="46"/>
        <v># DE VTE - BMW SPA PROGRAMME</v>
      </c>
      <c r="N622" s="151">
        <f>+IF(OR($Q622=Parametres!$G$2,$Q622=Parametres!$G$3),I622,C622)</f>
        <v>-45</v>
      </c>
      <c r="O622" s="151">
        <f>+IF(OR($Q622=Parametres!$G$2,$Q622=Parametres!$G$3),J622,D622)</f>
        <v>-97</v>
      </c>
      <c r="P622" s="151">
        <f>+IF(OR($Q622=Parametres!$G$2,$Q622=Parametres!$G$3),K622,E622)</f>
        <v>-142</v>
      </c>
      <c r="Q622" s="150" t="str">
        <f t="shared" si="47"/>
        <v>10-Compte compteur</v>
      </c>
      <c r="R622" s="149" t="str">
        <f t="shared" si="48"/>
        <v>459A</v>
      </c>
      <c r="S622" s="150" t="str">
        <f t="shared" si="49"/>
        <v>_</v>
      </c>
      <c r="T622" s="152" t="str">
        <f>+VLOOKUP($L622,Data_Validation!$A:$D,1,0)</f>
        <v>459A@</v>
      </c>
      <c r="U622" s="152" t="str">
        <f>+VLOOKUP($L622,Data_Validation!$A:$D,3,0)</f>
        <v>service</v>
      </c>
      <c r="V622" s="152" t="str">
        <f>+VLOOKUP($L622,Data_Validation!$A:$D,4,0)</f>
        <v>M/O Esthétique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71" t="s">
        <v>2194</v>
      </c>
      <c r="B623" s="671" t="s">
        <v>2195</v>
      </c>
      <c r="C623" s="672"/>
      <c r="D623" s="672"/>
      <c r="E623" s="672"/>
      <c r="F623" s="671" t="s">
        <v>4</v>
      </c>
      <c r="G623" s="671" t="s">
        <v>2417</v>
      </c>
      <c r="H623" s="666" t="s">
        <v>2971</v>
      </c>
      <c r="I623" s="665">
        <v>-21</v>
      </c>
      <c r="J623" s="665">
        <v>-4</v>
      </c>
      <c r="K623" s="665">
        <v>-25</v>
      </c>
      <c r="L623" s="149" t="str">
        <f t="shared" si="45"/>
        <v>459B@</v>
      </c>
      <c r="M623" s="150" t="str">
        <f t="shared" si="46"/>
        <v># OF VTES -VTE - SUBLET ESTHETIQUE</v>
      </c>
      <c r="N623" s="151">
        <f>+IF(OR($Q623=Parametres!$G$2,$Q623=Parametres!$G$3),I623,C623)</f>
        <v>-21</v>
      </c>
      <c r="O623" s="151">
        <f>+IF(OR($Q623=Parametres!$G$2,$Q623=Parametres!$G$3),J623,D623)</f>
        <v>-4</v>
      </c>
      <c r="P623" s="151">
        <f>+IF(OR($Q623=Parametres!$G$2,$Q623=Parametres!$G$3),K623,E623)</f>
        <v>-25</v>
      </c>
      <c r="Q623" s="150" t="str">
        <f t="shared" si="47"/>
        <v>10-Compte compteur</v>
      </c>
      <c r="R623" s="149" t="str">
        <f t="shared" si="48"/>
        <v>459</v>
      </c>
      <c r="S623" s="150" t="str">
        <f t="shared" si="49"/>
        <v>_</v>
      </c>
      <c r="T623" s="152" t="str">
        <f>+VLOOKUP($L623,Data_Validation!$A:$D,1,0)</f>
        <v>459B@</v>
      </c>
      <c r="U623" s="152" t="str">
        <f>+VLOOKUP($L623,Data_Validation!$A:$D,3,0)</f>
        <v>Service</v>
      </c>
      <c r="V623" s="152" t="str">
        <f>+VLOOKUP($L623,Data_Validation!$A:$D,4,0)</f>
        <v>M/O Esthétique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71" t="s">
        <v>1562</v>
      </c>
      <c r="B624" s="671" t="s">
        <v>1563</v>
      </c>
      <c r="C624" s="672"/>
      <c r="D624" s="672"/>
      <c r="E624" s="672"/>
      <c r="F624" s="671" t="s">
        <v>4</v>
      </c>
      <c r="G624" s="671" t="s">
        <v>1116</v>
      </c>
      <c r="H624" s="666" t="s">
        <v>2971</v>
      </c>
      <c r="I624" s="665">
        <v>-124</v>
      </c>
      <c r="J624" s="665">
        <v>-128</v>
      </c>
      <c r="K624" s="665">
        <v>-252</v>
      </c>
      <c r="L624" s="149" t="str">
        <f t="shared" si="45"/>
        <v>460A@</v>
      </c>
      <c r="M624" s="150" t="str">
        <f t="shared" si="46"/>
        <v># DE VTE - M/O CLIENT BMW AUTO</v>
      </c>
      <c r="N624" s="151">
        <f>+IF(OR($Q624=Parametres!$G$2,$Q624=Parametres!$G$3),I624,C624)</f>
        <v>-124</v>
      </c>
      <c r="O624" s="151">
        <f>+IF(OR($Q624=Parametres!$G$2,$Q624=Parametres!$G$3),J624,D624)</f>
        <v>-128</v>
      </c>
      <c r="P624" s="151">
        <f>+IF(OR($Q624=Parametres!$G$2,$Q624=Parametres!$G$3),K624,E624)</f>
        <v>-252</v>
      </c>
      <c r="Q624" s="150" t="str">
        <f t="shared" si="47"/>
        <v>10-Compte compteur</v>
      </c>
      <c r="R624" s="149" t="str">
        <f t="shared" si="48"/>
        <v>460A</v>
      </c>
      <c r="S624" s="150" t="str">
        <f t="shared" si="49"/>
        <v>_</v>
      </c>
      <c r="T624" s="152" t="str">
        <f>+VLOOKUP($L624,Data_Validation!$A:$D,1,0)</f>
        <v>460A@</v>
      </c>
      <c r="U624" s="152" t="str">
        <f>+VLOOKUP($L624,Data_Validation!$A:$D,3,0)</f>
        <v>service</v>
      </c>
      <c r="V624" s="152" t="str">
        <f>+VLOOKUP($L624,Data_Validation!$A:$D,4,0)</f>
        <v>M/O Client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71" t="s">
        <v>1564</v>
      </c>
      <c r="B625" s="671" t="s">
        <v>740</v>
      </c>
      <c r="C625" s="672"/>
      <c r="D625" s="672"/>
      <c r="E625" s="672"/>
      <c r="F625" s="671" t="s">
        <v>4</v>
      </c>
      <c r="G625" s="671" t="s">
        <v>1116</v>
      </c>
      <c r="H625" s="666" t="s">
        <v>2971</v>
      </c>
      <c r="I625" s="665">
        <v>-196</v>
      </c>
      <c r="J625" s="665">
        <v>-225</v>
      </c>
      <c r="K625" s="665">
        <v>-421</v>
      </c>
      <c r="L625" s="149" t="str">
        <f t="shared" si="45"/>
        <v>460B@</v>
      </c>
      <c r="M625" s="150" t="str">
        <f t="shared" si="46"/>
        <v># DE VTE - M/O CLIENT BMW CAMION</v>
      </c>
      <c r="N625" s="151">
        <f>+IF(OR($Q625=Parametres!$G$2,$Q625=Parametres!$G$3),I625,C625)</f>
        <v>-196</v>
      </c>
      <c r="O625" s="151">
        <f>+IF(OR($Q625=Parametres!$G$2,$Q625=Parametres!$G$3),J625,D625)</f>
        <v>-225</v>
      </c>
      <c r="P625" s="151">
        <f>+IF(OR($Q625=Parametres!$G$2,$Q625=Parametres!$G$3),K625,E625)</f>
        <v>-421</v>
      </c>
      <c r="Q625" s="150" t="str">
        <f t="shared" si="47"/>
        <v>10-Compte compteur</v>
      </c>
      <c r="R625" s="149" t="str">
        <f t="shared" si="48"/>
        <v>460A</v>
      </c>
      <c r="S625" s="150" t="str">
        <f t="shared" si="49"/>
        <v>_</v>
      </c>
      <c r="T625" s="152" t="str">
        <f>+VLOOKUP($L625,Data_Validation!$A:$D,1,0)</f>
        <v>460B@</v>
      </c>
      <c r="U625" s="152" t="str">
        <f>+VLOOKUP($L625,Data_Validation!$A:$D,3,0)</f>
        <v>service</v>
      </c>
      <c r="V625" s="152" t="str">
        <f>+VLOOKUP($L625,Data_Validation!$A:$D,4,0)</f>
        <v>M/O Client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71" t="s">
        <v>1047</v>
      </c>
      <c r="B626" s="671" t="s">
        <v>741</v>
      </c>
      <c r="C626" s="672"/>
      <c r="D626" s="672"/>
      <c r="E626" s="672"/>
      <c r="F626" s="671" t="s">
        <v>4</v>
      </c>
      <c r="G626" s="671" t="s">
        <v>1116</v>
      </c>
      <c r="H626" s="666" t="s">
        <v>2971</v>
      </c>
      <c r="I626" s="665">
        <v>-19</v>
      </c>
      <c r="J626" s="665">
        <v>-46</v>
      </c>
      <c r="K626" s="665">
        <v>-65</v>
      </c>
      <c r="L626" s="149" t="str">
        <f t="shared" si="45"/>
        <v>460D@</v>
      </c>
      <c r="M626" s="150" t="str">
        <f t="shared" si="46"/>
        <v># DE VTE - M/O CLIENT BMW I</v>
      </c>
      <c r="N626" s="151">
        <f>+IF(OR($Q626=Parametres!$G$2,$Q626=Parametres!$G$3),I626,C626)</f>
        <v>-19</v>
      </c>
      <c r="O626" s="151">
        <f>+IF(OR($Q626=Parametres!$G$2,$Q626=Parametres!$G$3),J626,D626)</f>
        <v>-46</v>
      </c>
      <c r="P626" s="151">
        <f>+IF(OR($Q626=Parametres!$G$2,$Q626=Parametres!$G$3),K626,E626)</f>
        <v>-65</v>
      </c>
      <c r="Q626" s="150" t="str">
        <f t="shared" si="47"/>
        <v>10-Compte compteur</v>
      </c>
      <c r="R626" s="149" t="str">
        <f t="shared" si="48"/>
        <v>460A</v>
      </c>
      <c r="S626" s="150" t="str">
        <f t="shared" si="49"/>
        <v>_</v>
      </c>
      <c r="T626" s="152" t="str">
        <f>+VLOOKUP($L626,Data_Validation!$A:$D,1,0)</f>
        <v>460D@</v>
      </c>
      <c r="U626" s="152" t="str">
        <f>+VLOOKUP($L626,Data_Validation!$A:$D,3,0)</f>
        <v>service</v>
      </c>
      <c r="V626" s="152" t="str">
        <f>+VLOOKUP($L626,Data_Validation!$A:$D,4,0)</f>
        <v>M/O Client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71" t="s">
        <v>1565</v>
      </c>
      <c r="B627" s="671" t="s">
        <v>1566</v>
      </c>
      <c r="C627" s="672"/>
      <c r="D627" s="672"/>
      <c r="E627" s="672"/>
      <c r="F627" s="671" t="s">
        <v>4</v>
      </c>
      <c r="G627" s="671" t="s">
        <v>1110</v>
      </c>
      <c r="H627" s="666" t="s">
        <v>2971</v>
      </c>
      <c r="I627" s="665">
        <v>-71</v>
      </c>
      <c r="J627" s="665">
        <v>-14</v>
      </c>
      <c r="K627" s="665">
        <v>-85</v>
      </c>
      <c r="L627" s="149" t="str">
        <f t="shared" si="45"/>
        <v>461A@</v>
      </c>
      <c r="M627" s="150" t="str">
        <f t="shared" si="46"/>
        <v># DE VTE - M/O GARANTIE BMW AUTO</v>
      </c>
      <c r="N627" s="151">
        <f>+IF(OR($Q627=Parametres!$G$2,$Q627=Parametres!$G$3),I627,C627)</f>
        <v>-71</v>
      </c>
      <c r="O627" s="151">
        <f>+IF(OR($Q627=Parametres!$G$2,$Q627=Parametres!$G$3),J627,D627)</f>
        <v>-14</v>
      </c>
      <c r="P627" s="151">
        <f>+IF(OR($Q627=Parametres!$G$2,$Q627=Parametres!$G$3),K627,E627)</f>
        <v>-85</v>
      </c>
      <c r="Q627" s="150" t="str">
        <f t="shared" si="47"/>
        <v>10-Compte compteur</v>
      </c>
      <c r="R627" s="149" t="str">
        <f t="shared" si="48"/>
        <v>461A</v>
      </c>
      <c r="S627" s="150" t="str">
        <f t="shared" si="49"/>
        <v>_</v>
      </c>
      <c r="T627" s="152" t="str">
        <f>+VLOOKUP($L627,Data_Validation!$A:$D,1,0)</f>
        <v>461A@</v>
      </c>
      <c r="U627" s="152" t="str">
        <f>+VLOOKUP($L627,Data_Validation!$A:$D,3,0)</f>
        <v>service</v>
      </c>
      <c r="V627" s="152" t="str">
        <f>+VLOOKUP($L627,Data_Validation!$A:$D,4,0)</f>
        <v>M/O Garantie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71" t="s">
        <v>1567</v>
      </c>
      <c r="B628" s="671" t="s">
        <v>742</v>
      </c>
      <c r="C628" s="672"/>
      <c r="D628" s="672"/>
      <c r="E628" s="672"/>
      <c r="F628" s="671" t="s">
        <v>4</v>
      </c>
      <c r="G628" s="671" t="s">
        <v>1110</v>
      </c>
      <c r="H628" s="666" t="s">
        <v>2971</v>
      </c>
      <c r="I628" s="665">
        <v>-133</v>
      </c>
      <c r="J628" s="665">
        <v>-37</v>
      </c>
      <c r="K628" s="665">
        <v>-170</v>
      </c>
      <c r="L628" s="149" t="str">
        <f t="shared" si="45"/>
        <v>461B@</v>
      </c>
      <c r="M628" s="150" t="str">
        <f t="shared" si="46"/>
        <v># DE VTE - M/O GARANTIE BMW CAMION</v>
      </c>
      <c r="N628" s="151">
        <f>+IF(OR($Q628=Parametres!$G$2,$Q628=Parametres!$G$3),I628,C628)</f>
        <v>-133</v>
      </c>
      <c r="O628" s="151">
        <f>+IF(OR($Q628=Parametres!$G$2,$Q628=Parametres!$G$3),J628,D628)</f>
        <v>-37</v>
      </c>
      <c r="P628" s="151">
        <f>+IF(OR($Q628=Parametres!$G$2,$Q628=Parametres!$G$3),K628,E628)</f>
        <v>-170</v>
      </c>
      <c r="Q628" s="150" t="str">
        <f t="shared" si="47"/>
        <v>10-Compte compteur</v>
      </c>
      <c r="R628" s="149" t="str">
        <f t="shared" si="48"/>
        <v>461A</v>
      </c>
      <c r="S628" s="150" t="str">
        <f t="shared" si="49"/>
        <v>_</v>
      </c>
      <c r="T628" s="152" t="str">
        <f>+VLOOKUP($L628,Data_Validation!$A:$D,1,0)</f>
        <v>461B@</v>
      </c>
      <c r="U628" s="152" t="str">
        <f>+VLOOKUP($L628,Data_Validation!$A:$D,3,0)</f>
        <v>service</v>
      </c>
      <c r="V628" s="152" t="str">
        <f>+VLOOKUP($L628,Data_Validation!$A:$D,4,0)</f>
        <v>M/O Garantie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71" t="s">
        <v>1568</v>
      </c>
      <c r="B629" s="671" t="s">
        <v>743</v>
      </c>
      <c r="C629" s="672"/>
      <c r="D629" s="672"/>
      <c r="E629" s="672"/>
      <c r="F629" s="671" t="s">
        <v>4</v>
      </c>
      <c r="G629" s="671" t="s">
        <v>441</v>
      </c>
      <c r="H629" s="666" t="s">
        <v>2971</v>
      </c>
      <c r="I629" s="665">
        <v>-49</v>
      </c>
      <c r="J629" s="665">
        <v>-17</v>
      </c>
      <c r="K629" s="665">
        <v>-66</v>
      </c>
      <c r="L629" s="149" t="str">
        <f t="shared" si="45"/>
        <v>461D@</v>
      </c>
      <c r="M629" s="150" t="str">
        <f t="shared" si="46"/>
        <v># DE VTE - M/O ENTRETIEN BMW AUTO</v>
      </c>
      <c r="N629" s="151">
        <f>+IF(OR($Q629=Parametres!$G$2,$Q629=Parametres!$G$3),I629,C629)</f>
        <v>-49</v>
      </c>
      <c r="O629" s="151">
        <f>+IF(OR($Q629=Parametres!$G$2,$Q629=Parametres!$G$3),J629,D629)</f>
        <v>-17</v>
      </c>
      <c r="P629" s="151">
        <f>+IF(OR($Q629=Parametres!$G$2,$Q629=Parametres!$G$3),K629,E629)</f>
        <v>-66</v>
      </c>
      <c r="Q629" s="150" t="str">
        <f t="shared" si="47"/>
        <v>10-Compte compteur</v>
      </c>
      <c r="R629" s="149" t="str">
        <f t="shared" si="48"/>
        <v>461D</v>
      </c>
      <c r="S629" s="150" t="str">
        <f t="shared" si="49"/>
        <v>_</v>
      </c>
      <c r="T629" s="152" t="str">
        <f>+VLOOKUP($L629,Data_Validation!$A:$D,1,0)</f>
        <v>461D@</v>
      </c>
      <c r="U629" s="152" t="str">
        <f>+VLOOKUP($L629,Data_Validation!$A:$D,3,0)</f>
        <v>service</v>
      </c>
      <c r="V629" s="152" t="str">
        <f>+VLOOKUP($L629,Data_Validation!$A:$D,4,0)</f>
        <v>M/O Garantie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71" t="s">
        <v>1569</v>
      </c>
      <c r="B630" s="671" t="s">
        <v>744</v>
      </c>
      <c r="C630" s="672"/>
      <c r="D630" s="672"/>
      <c r="E630" s="672"/>
      <c r="F630" s="671" t="s">
        <v>4</v>
      </c>
      <c r="G630" s="671" t="s">
        <v>441</v>
      </c>
      <c r="H630" s="666" t="s">
        <v>2971</v>
      </c>
      <c r="I630" s="665">
        <v>-137</v>
      </c>
      <c r="J630" s="665">
        <v>-54</v>
      </c>
      <c r="K630" s="665">
        <v>-191</v>
      </c>
      <c r="L630" s="149" t="str">
        <f t="shared" si="45"/>
        <v>461E@</v>
      </c>
      <c r="M630" s="150" t="str">
        <f t="shared" si="46"/>
        <v># DE VTE - M/O ENTRETIEN BMW CAMION</v>
      </c>
      <c r="N630" s="151">
        <f>+IF(OR($Q630=Parametres!$G$2,$Q630=Parametres!$G$3),I630,C630)</f>
        <v>-137</v>
      </c>
      <c r="O630" s="151">
        <f>+IF(OR($Q630=Parametres!$G$2,$Q630=Parametres!$G$3),J630,D630)</f>
        <v>-54</v>
      </c>
      <c r="P630" s="151">
        <f>+IF(OR($Q630=Parametres!$G$2,$Q630=Parametres!$G$3),K630,E630)</f>
        <v>-191</v>
      </c>
      <c r="Q630" s="150" t="str">
        <f t="shared" si="47"/>
        <v>10-Compte compteur</v>
      </c>
      <c r="R630" s="149" t="str">
        <f t="shared" si="48"/>
        <v>461D</v>
      </c>
      <c r="S630" s="150" t="str">
        <f t="shared" si="49"/>
        <v>_</v>
      </c>
      <c r="T630" s="152" t="str">
        <f>+VLOOKUP($L630,Data_Validation!$A:$D,1,0)</f>
        <v>461E@</v>
      </c>
      <c r="U630" s="152" t="str">
        <f>+VLOOKUP($L630,Data_Validation!$A:$D,3,0)</f>
        <v>service</v>
      </c>
      <c r="V630" s="152" t="str">
        <f>+VLOOKUP($L630,Data_Validation!$A:$D,4,0)</f>
        <v>M/O Garantie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71" t="s">
        <v>1570</v>
      </c>
      <c r="B631" s="671" t="s">
        <v>745</v>
      </c>
      <c r="C631" s="672"/>
      <c r="D631" s="672"/>
      <c r="E631" s="672"/>
      <c r="F631" s="671" t="s">
        <v>4</v>
      </c>
      <c r="G631" s="671" t="s">
        <v>441</v>
      </c>
      <c r="H631" s="666" t="s">
        <v>2971</v>
      </c>
      <c r="I631" s="665">
        <v>-7</v>
      </c>
      <c r="J631" s="665">
        <v>-8</v>
      </c>
      <c r="K631" s="665">
        <v>-15</v>
      </c>
      <c r="L631" s="149" t="str">
        <f t="shared" si="45"/>
        <v>461G@</v>
      </c>
      <c r="M631" s="150" t="str">
        <f t="shared" si="46"/>
        <v># DE VTE - M/O ENTRENTIEN BMW I</v>
      </c>
      <c r="N631" s="151">
        <f>+IF(OR($Q631=Parametres!$G$2,$Q631=Parametres!$G$3),I631,C631)</f>
        <v>-7</v>
      </c>
      <c r="O631" s="151">
        <f>+IF(OR($Q631=Parametres!$G$2,$Q631=Parametres!$G$3),J631,D631)</f>
        <v>-8</v>
      </c>
      <c r="P631" s="151">
        <f>+IF(OR($Q631=Parametres!$G$2,$Q631=Parametres!$G$3),K631,E631)</f>
        <v>-15</v>
      </c>
      <c r="Q631" s="150" t="str">
        <f t="shared" si="47"/>
        <v>10-Compte compteur</v>
      </c>
      <c r="R631" s="149" t="str">
        <f t="shared" si="48"/>
        <v>461D</v>
      </c>
      <c r="S631" s="150" t="str">
        <f t="shared" si="49"/>
        <v>_</v>
      </c>
      <c r="T631" s="152" t="str">
        <f>+VLOOKUP($L631,Data_Validation!$A:$D,1,0)</f>
        <v>461G@</v>
      </c>
      <c r="U631" s="152" t="str">
        <f>+VLOOKUP($L631,Data_Validation!$A:$D,3,0)</f>
        <v>service</v>
      </c>
      <c r="V631" s="152" t="str">
        <f>+VLOOKUP($L631,Data_Validation!$A:$D,4,0)</f>
        <v>M/O Garantie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71" t="s">
        <v>1571</v>
      </c>
      <c r="B632" s="671" t="s">
        <v>746</v>
      </c>
      <c r="C632" s="672"/>
      <c r="D632" s="672"/>
      <c r="E632" s="672"/>
      <c r="F632" s="671" t="s">
        <v>4</v>
      </c>
      <c r="G632" s="671" t="s">
        <v>1110</v>
      </c>
      <c r="H632" s="666" t="s">
        <v>2971</v>
      </c>
      <c r="I632" s="665">
        <v>-20</v>
      </c>
      <c r="J632" s="665">
        <v>-4</v>
      </c>
      <c r="K632" s="665">
        <v>-24</v>
      </c>
      <c r="L632" s="149" t="str">
        <f t="shared" si="45"/>
        <v>461H@</v>
      </c>
      <c r="M632" s="150" t="str">
        <f t="shared" si="46"/>
        <v># DE VTE - M/O GARANTIE BMW</v>
      </c>
      <c r="N632" s="151">
        <f>+IF(OR($Q632=Parametres!$G$2,$Q632=Parametres!$G$3),I632,C632)</f>
        <v>-20</v>
      </c>
      <c r="O632" s="151">
        <f>+IF(OR($Q632=Parametres!$G$2,$Q632=Parametres!$G$3),J632,D632)</f>
        <v>-4</v>
      </c>
      <c r="P632" s="151">
        <f>+IF(OR($Q632=Parametres!$G$2,$Q632=Parametres!$G$3),K632,E632)</f>
        <v>-24</v>
      </c>
      <c r="Q632" s="150" t="str">
        <f t="shared" si="47"/>
        <v>10-Compte compteur</v>
      </c>
      <c r="R632" s="149" t="str">
        <f t="shared" si="48"/>
        <v>461A</v>
      </c>
      <c r="S632" s="150" t="str">
        <f t="shared" si="49"/>
        <v>_</v>
      </c>
      <c r="T632" s="152" t="str">
        <f>+VLOOKUP($L632,Data_Validation!$A:$D,1,0)</f>
        <v>461H@</v>
      </c>
      <c r="U632" s="152" t="str">
        <f>+VLOOKUP($L632,Data_Validation!$A:$D,3,0)</f>
        <v>service</v>
      </c>
      <c r="V632" s="152" t="str">
        <f>+VLOOKUP($L632,Data_Validation!$A:$D,4,0)</f>
        <v>M/O Garantie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71" t="s">
        <v>1572</v>
      </c>
      <c r="B633" s="671" t="s">
        <v>1573</v>
      </c>
      <c r="C633" s="672"/>
      <c r="D633" s="672"/>
      <c r="E633" s="672"/>
      <c r="F633" s="671" t="s">
        <v>4</v>
      </c>
      <c r="G633" s="671" t="s">
        <v>1139</v>
      </c>
      <c r="H633" s="666" t="s">
        <v>2971</v>
      </c>
      <c r="I633" s="665">
        <v>-113</v>
      </c>
      <c r="J633" s="665">
        <v>-44</v>
      </c>
      <c r="K633" s="665">
        <v>-157</v>
      </c>
      <c r="L633" s="149" t="str">
        <f t="shared" si="45"/>
        <v>462A@</v>
      </c>
      <c r="M633" s="150" t="str">
        <f t="shared" si="46"/>
        <v># DE VTE - M/O INTERNE BMW AUTO</v>
      </c>
      <c r="N633" s="151">
        <f>+IF(OR($Q633=Parametres!$G$2,$Q633=Parametres!$G$3),I633,C633)</f>
        <v>-113</v>
      </c>
      <c r="O633" s="151">
        <f>+IF(OR($Q633=Parametres!$G$2,$Q633=Parametres!$G$3),J633,D633)</f>
        <v>-44</v>
      </c>
      <c r="P633" s="151">
        <f>+IF(OR($Q633=Parametres!$G$2,$Q633=Parametres!$G$3),K633,E633)</f>
        <v>-157</v>
      </c>
      <c r="Q633" s="150" t="str">
        <f t="shared" si="47"/>
        <v>10-Compte compteur</v>
      </c>
      <c r="R633" s="149" t="str">
        <f t="shared" si="48"/>
        <v>462A</v>
      </c>
      <c r="S633" s="150" t="str">
        <f t="shared" si="49"/>
        <v>_</v>
      </c>
      <c r="T633" s="152" t="str">
        <f>+VLOOKUP($L633,Data_Validation!$A:$D,1,0)</f>
        <v>462A@</v>
      </c>
      <c r="U633" s="152" t="str">
        <f>+VLOOKUP($L633,Data_Validation!$A:$D,3,0)</f>
        <v>service</v>
      </c>
      <c r="V633" s="152" t="str">
        <f>+VLOOKUP($L633,Data_Validation!$A:$D,4,0)</f>
        <v>M/O Interne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71" t="s">
        <v>1574</v>
      </c>
      <c r="B634" s="671" t="s">
        <v>747</v>
      </c>
      <c r="C634" s="672"/>
      <c r="D634" s="672"/>
      <c r="E634" s="672"/>
      <c r="F634" s="671" t="s">
        <v>4</v>
      </c>
      <c r="G634" s="671" t="s">
        <v>1139</v>
      </c>
      <c r="H634" s="666" t="s">
        <v>2971</v>
      </c>
      <c r="I634" s="665">
        <v>-122</v>
      </c>
      <c r="J634" s="665">
        <v>-55</v>
      </c>
      <c r="K634" s="665">
        <v>-177</v>
      </c>
      <c r="L634" s="149" t="str">
        <f t="shared" si="45"/>
        <v>462B@</v>
      </c>
      <c r="M634" s="150" t="str">
        <f t="shared" si="46"/>
        <v># DE VTE - M/O INTERNE BMW CAMION</v>
      </c>
      <c r="N634" s="151">
        <f>+IF(OR($Q634=Parametres!$G$2,$Q634=Parametres!$G$3),I634,C634)</f>
        <v>-122</v>
      </c>
      <c r="O634" s="151">
        <f>+IF(OR($Q634=Parametres!$G$2,$Q634=Parametres!$G$3),J634,D634)</f>
        <v>-55</v>
      </c>
      <c r="P634" s="151">
        <f>+IF(OR($Q634=Parametres!$G$2,$Q634=Parametres!$G$3),K634,E634)</f>
        <v>-177</v>
      </c>
      <c r="Q634" s="150" t="str">
        <f t="shared" si="47"/>
        <v>10-Compte compteur</v>
      </c>
      <c r="R634" s="149" t="str">
        <f t="shared" si="48"/>
        <v>462A</v>
      </c>
      <c r="S634" s="150" t="str">
        <f t="shared" si="49"/>
        <v>_</v>
      </c>
      <c r="T634" s="152" t="str">
        <f>+VLOOKUP($L634,Data_Validation!$A:$D,1,0)</f>
        <v>462B@</v>
      </c>
      <c r="U634" s="152" t="str">
        <f>+VLOOKUP($L634,Data_Validation!$A:$D,3,0)</f>
        <v>service</v>
      </c>
      <c r="V634" s="152" t="str">
        <f>+VLOOKUP($L634,Data_Validation!$A:$D,4,0)</f>
        <v>M/O Interne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71" t="s">
        <v>1048</v>
      </c>
      <c r="B635" s="671" t="s">
        <v>748</v>
      </c>
      <c r="C635" s="672"/>
      <c r="D635" s="672"/>
      <c r="E635" s="672"/>
      <c r="F635" s="671" t="s">
        <v>4</v>
      </c>
      <c r="G635" s="671" t="s">
        <v>1139</v>
      </c>
      <c r="H635" s="666" t="s">
        <v>2971</v>
      </c>
      <c r="I635" s="665">
        <v>-33</v>
      </c>
      <c r="J635" s="665">
        <v>-13</v>
      </c>
      <c r="K635" s="665">
        <v>-46</v>
      </c>
      <c r="L635" s="149" t="str">
        <f t="shared" si="45"/>
        <v>462D@</v>
      </c>
      <c r="M635" s="150" t="str">
        <f t="shared" si="46"/>
        <v># DE VTE - M/O INTERNE BMW I</v>
      </c>
      <c r="N635" s="151">
        <f>+IF(OR($Q635=Parametres!$G$2,$Q635=Parametres!$G$3),I635,C635)</f>
        <v>-33</v>
      </c>
      <c r="O635" s="151">
        <f>+IF(OR($Q635=Parametres!$G$2,$Q635=Parametres!$G$3),J635,D635)</f>
        <v>-13</v>
      </c>
      <c r="P635" s="151">
        <f>+IF(OR($Q635=Parametres!$G$2,$Q635=Parametres!$G$3),K635,E635)</f>
        <v>-46</v>
      </c>
      <c r="Q635" s="150" t="str">
        <f t="shared" si="47"/>
        <v>10-Compte compteur</v>
      </c>
      <c r="R635" s="149" t="str">
        <f t="shared" si="48"/>
        <v>462A</v>
      </c>
      <c r="S635" s="150" t="str">
        <f t="shared" si="49"/>
        <v>_</v>
      </c>
      <c r="T635" s="152" t="str">
        <f>+VLOOKUP($L635,Data_Validation!$A:$D,1,0)</f>
        <v>462D@</v>
      </c>
      <c r="U635" s="152" t="str">
        <f>+VLOOKUP($L635,Data_Validation!$A:$D,3,0)</f>
        <v>service</v>
      </c>
      <c r="V635" s="152" t="str">
        <f>+VLOOKUP($L635,Data_Validation!$A:$D,4,0)</f>
        <v>M/O Interne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71" t="s">
        <v>2184</v>
      </c>
      <c r="B636" s="671" t="s">
        <v>2185</v>
      </c>
      <c r="C636" s="672"/>
      <c r="D636" s="672"/>
      <c r="E636" s="672"/>
      <c r="F636" s="671" t="s">
        <v>4</v>
      </c>
      <c r="G636" s="671" t="s">
        <v>1139</v>
      </c>
      <c r="H636" s="666" t="s">
        <v>2971</v>
      </c>
      <c r="I636" s="665">
        <v>-20</v>
      </c>
      <c r="J636" s="665">
        <v>-2</v>
      </c>
      <c r="K636" s="665">
        <v>-22</v>
      </c>
      <c r="L636" s="149" t="str">
        <f t="shared" si="45"/>
        <v>462L@</v>
      </c>
      <c r="M636" s="150" t="str">
        <f t="shared" si="46"/>
        <v># OF VTES -SUBLET INTERNE AUTO</v>
      </c>
      <c r="N636" s="151">
        <f>+IF(OR($Q636=Parametres!$G$2,$Q636=Parametres!$G$3),I636,C636)</f>
        <v>-20</v>
      </c>
      <c r="O636" s="151">
        <f>+IF(OR($Q636=Parametres!$G$2,$Q636=Parametres!$G$3),J636,D636)</f>
        <v>-2</v>
      </c>
      <c r="P636" s="151">
        <f>+IF(OR($Q636=Parametres!$G$2,$Q636=Parametres!$G$3),K636,E636)</f>
        <v>-22</v>
      </c>
      <c r="Q636" s="150" t="str">
        <f t="shared" si="47"/>
        <v>10-Compte compteur</v>
      </c>
      <c r="R636" s="149" t="str">
        <f t="shared" si="48"/>
        <v>462A</v>
      </c>
      <c r="S636" s="150" t="str">
        <f t="shared" si="49"/>
        <v>_</v>
      </c>
      <c r="T636" s="152" t="str">
        <f>+VLOOKUP($L636,Data_Validation!$A:$D,1,0)</f>
        <v>462L@</v>
      </c>
      <c r="U636" s="152" t="str">
        <f>+VLOOKUP($L636,Data_Validation!$A:$D,3,0)</f>
        <v>Service</v>
      </c>
      <c r="V636" s="152" t="str">
        <f>+VLOOKUP($L636,Data_Validation!$A:$D,4,0)</f>
        <v>M/O Interne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71" t="s">
        <v>2186</v>
      </c>
      <c r="B637" s="671" t="s">
        <v>2187</v>
      </c>
      <c r="C637" s="672"/>
      <c r="D637" s="672"/>
      <c r="E637" s="672"/>
      <c r="F637" s="671" t="s">
        <v>4</v>
      </c>
      <c r="G637" s="671" t="s">
        <v>1139</v>
      </c>
      <c r="H637" s="666" t="s">
        <v>2971</v>
      </c>
      <c r="I637" s="665">
        <v>-12</v>
      </c>
      <c r="J637" s="665">
        <v>-1</v>
      </c>
      <c r="K637" s="665">
        <v>-13</v>
      </c>
      <c r="L637" s="149" t="str">
        <f t="shared" si="45"/>
        <v>462M@</v>
      </c>
      <c r="M637" s="150" t="str">
        <f t="shared" si="46"/>
        <v># OF VTES -SUBLET INTERNE CAMION</v>
      </c>
      <c r="N637" s="151">
        <f>+IF(OR($Q637=Parametres!$G$2,$Q637=Parametres!$G$3),I637,C637)</f>
        <v>-12</v>
      </c>
      <c r="O637" s="151">
        <f>+IF(OR($Q637=Parametres!$G$2,$Q637=Parametres!$G$3),J637,D637)</f>
        <v>-1</v>
      </c>
      <c r="P637" s="151">
        <f>+IF(OR($Q637=Parametres!$G$2,$Q637=Parametres!$G$3),K637,E637)</f>
        <v>-13</v>
      </c>
      <c r="Q637" s="150" t="str">
        <f t="shared" si="47"/>
        <v>10-Compte compteur</v>
      </c>
      <c r="R637" s="149" t="str">
        <f t="shared" si="48"/>
        <v>462A</v>
      </c>
      <c r="S637" s="150" t="str">
        <f t="shared" si="49"/>
        <v>_</v>
      </c>
      <c r="T637" s="152" t="str">
        <f>+VLOOKUP($L637,Data_Validation!$A:$D,1,0)</f>
        <v>462M@</v>
      </c>
      <c r="U637" s="152" t="str">
        <f>+VLOOKUP($L637,Data_Validation!$A:$D,3,0)</f>
        <v>Service</v>
      </c>
      <c r="V637" s="152" t="str">
        <f>+VLOOKUP($L637,Data_Validation!$A:$D,4,0)</f>
        <v>M/O Interne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71" t="s">
        <v>2245</v>
      </c>
      <c r="B638" s="671" t="s">
        <v>2244</v>
      </c>
      <c r="C638" s="672"/>
      <c r="D638" s="672"/>
      <c r="E638" s="672"/>
      <c r="F638" s="671" t="s">
        <v>4</v>
      </c>
      <c r="G638" s="671" t="s">
        <v>1139</v>
      </c>
      <c r="H638" s="666" t="s">
        <v>2971</v>
      </c>
      <c r="I638" s="665">
        <v>-4</v>
      </c>
      <c r="J638" s="665">
        <v>0</v>
      </c>
      <c r="K638" s="665">
        <v>-4</v>
      </c>
      <c r="L638" s="149" t="str">
        <f t="shared" si="45"/>
        <v>462N@</v>
      </c>
      <c r="M638" s="150" t="str">
        <f t="shared" si="46"/>
        <v># OF VTES -SUBLET INTERNE ESTHETIQUE</v>
      </c>
      <c r="N638" s="151">
        <f>+IF(OR($Q638=Parametres!$G$2,$Q638=Parametres!$G$3),I638,C638)</f>
        <v>-4</v>
      </c>
      <c r="O638" s="151">
        <f>+IF(OR($Q638=Parametres!$G$2,$Q638=Parametres!$G$3),J638,D638)</f>
        <v>0</v>
      </c>
      <c r="P638" s="151">
        <f>+IF(OR($Q638=Parametres!$G$2,$Q638=Parametres!$G$3),K638,E638)</f>
        <v>-4</v>
      </c>
      <c r="Q638" s="150" t="str">
        <f t="shared" si="47"/>
        <v>10-Compte compteur</v>
      </c>
      <c r="R638" s="149" t="str">
        <f t="shared" si="48"/>
        <v>462A</v>
      </c>
      <c r="S638" s="150" t="str">
        <f t="shared" si="49"/>
        <v>_</v>
      </c>
      <c r="T638" s="152" t="str">
        <f>+VLOOKUP($L638,Data_Validation!$A:$D,1,0)</f>
        <v>462N@</v>
      </c>
      <c r="U638" s="152" t="str">
        <f>+VLOOKUP($L638,Data_Validation!$A:$D,3,0)</f>
        <v>Service</v>
      </c>
      <c r="V638" s="152" t="str">
        <f>+VLOOKUP($L638,Data_Validation!$A:$D,4,0)</f>
        <v>M/O Interne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71" t="s">
        <v>1575</v>
      </c>
      <c r="B639" s="671" t="s">
        <v>1576</v>
      </c>
      <c r="C639" s="672"/>
      <c r="D639" s="672"/>
      <c r="E639" s="672"/>
      <c r="F639" s="671" t="s">
        <v>4</v>
      </c>
      <c r="G639" s="671" t="s">
        <v>1143</v>
      </c>
      <c r="H639" s="666" t="s">
        <v>2971</v>
      </c>
      <c r="I639" s="665">
        <v>-24</v>
      </c>
      <c r="J639" s="665">
        <v>-10</v>
      </c>
      <c r="K639" s="665">
        <v>-34</v>
      </c>
      <c r="L639" s="149" t="str">
        <f t="shared" si="45"/>
        <v>463A@</v>
      </c>
      <c r="M639" s="150" t="str">
        <f t="shared" si="46"/>
        <v># DE VTE - SOUS-TRAITANCE BMW AUTO</v>
      </c>
      <c r="N639" s="151">
        <f>+IF(OR($Q639=Parametres!$G$2,$Q639=Parametres!$G$3),I639,C639)</f>
        <v>-24</v>
      </c>
      <c r="O639" s="151">
        <f>+IF(OR($Q639=Parametres!$G$2,$Q639=Parametres!$G$3),J639,D639)</f>
        <v>-10</v>
      </c>
      <c r="P639" s="151">
        <f>+IF(OR($Q639=Parametres!$G$2,$Q639=Parametres!$G$3),K639,E639)</f>
        <v>-34</v>
      </c>
      <c r="Q639" s="150" t="str">
        <f t="shared" si="47"/>
        <v>10-Compte compteur</v>
      </c>
      <c r="R639" s="149" t="str">
        <f t="shared" si="48"/>
        <v>463A</v>
      </c>
      <c r="S639" s="150" t="str">
        <f t="shared" si="49"/>
        <v>_</v>
      </c>
      <c r="T639" s="152" t="str">
        <f>+VLOOKUP($L639,Data_Validation!$A:$D,1,0)</f>
        <v>463A@</v>
      </c>
      <c r="U639" s="152" t="str">
        <f>+VLOOKUP($L639,Data_Validation!$A:$D,3,0)</f>
        <v>service</v>
      </c>
      <c r="V639" s="152" t="str">
        <f>+VLOOKUP($L639,Data_Validation!$A:$D,4,0)</f>
        <v>Sous-traitement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71" t="s">
        <v>1577</v>
      </c>
      <c r="B640" s="671" t="s">
        <v>749</v>
      </c>
      <c r="C640" s="672"/>
      <c r="D640" s="672"/>
      <c r="E640" s="672"/>
      <c r="F640" s="671" t="s">
        <v>4</v>
      </c>
      <c r="G640" s="671" t="s">
        <v>1143</v>
      </c>
      <c r="H640" s="666" t="s">
        <v>2971</v>
      </c>
      <c r="I640" s="665">
        <v>-17</v>
      </c>
      <c r="J640" s="665">
        <v>-7</v>
      </c>
      <c r="K640" s="665">
        <v>-24</v>
      </c>
      <c r="L640" s="149" t="str">
        <f t="shared" si="45"/>
        <v>463B@</v>
      </c>
      <c r="M640" s="150" t="str">
        <f t="shared" si="46"/>
        <v># DE VTE - SOUS-TRAITANCE BMW CAMION</v>
      </c>
      <c r="N640" s="151">
        <f>+IF(OR($Q640=Parametres!$G$2,$Q640=Parametres!$G$3),I640,C640)</f>
        <v>-17</v>
      </c>
      <c r="O640" s="151">
        <f>+IF(OR($Q640=Parametres!$G$2,$Q640=Parametres!$G$3),J640,D640)</f>
        <v>-7</v>
      </c>
      <c r="P640" s="151">
        <f>+IF(OR($Q640=Parametres!$G$2,$Q640=Parametres!$G$3),K640,E640)</f>
        <v>-24</v>
      </c>
      <c r="Q640" s="150" t="str">
        <f t="shared" si="47"/>
        <v>10-Compte compteur</v>
      </c>
      <c r="R640" s="149" t="str">
        <f t="shared" si="48"/>
        <v>463A</v>
      </c>
      <c r="S640" s="150" t="str">
        <f t="shared" si="49"/>
        <v>_</v>
      </c>
      <c r="T640" s="152" t="str">
        <f>+VLOOKUP($L640,Data_Validation!$A:$D,1,0)</f>
        <v>463B@</v>
      </c>
      <c r="U640" s="152" t="str">
        <f>+VLOOKUP($L640,Data_Validation!$A:$D,3,0)</f>
        <v>service</v>
      </c>
      <c r="V640" s="152" t="str">
        <f>+VLOOKUP($L640,Data_Validation!$A:$D,4,0)</f>
        <v>Sous-traitement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71" t="s">
        <v>1049</v>
      </c>
      <c r="B641" s="671" t="s">
        <v>1050</v>
      </c>
      <c r="C641" s="672"/>
      <c r="D641" s="672"/>
      <c r="E641" s="672"/>
      <c r="F641" s="671" t="s">
        <v>4</v>
      </c>
      <c r="G641" s="671" t="s">
        <v>1143</v>
      </c>
      <c r="H641" s="666" t="s">
        <v>2971</v>
      </c>
      <c r="I641" s="665">
        <v>-5</v>
      </c>
      <c r="J641" s="665">
        <v>-1</v>
      </c>
      <c r="K641" s="665">
        <v>-6</v>
      </c>
      <c r="L641" s="149" t="str">
        <f t="shared" si="45"/>
        <v>463D@</v>
      </c>
      <c r="M641" s="150" t="str">
        <f t="shared" si="46"/>
        <v># DE VTE - SOUS-TRAITANCE BMW I</v>
      </c>
      <c r="N641" s="151">
        <f>+IF(OR($Q641=Parametres!$G$2,$Q641=Parametres!$G$3),I641,C641)</f>
        <v>-5</v>
      </c>
      <c r="O641" s="151">
        <f>+IF(OR($Q641=Parametres!$G$2,$Q641=Parametres!$G$3),J641,D641)</f>
        <v>-1</v>
      </c>
      <c r="P641" s="151">
        <f>+IF(OR($Q641=Parametres!$G$2,$Q641=Parametres!$G$3),K641,E641)</f>
        <v>-6</v>
      </c>
      <c r="Q641" s="150" t="str">
        <f t="shared" si="47"/>
        <v>10-Compte compteur</v>
      </c>
      <c r="R641" s="149" t="str">
        <f t="shared" si="48"/>
        <v>463A</v>
      </c>
      <c r="S641" s="150" t="str">
        <f t="shared" si="49"/>
        <v>_</v>
      </c>
      <c r="T641" s="152" t="str">
        <f>+VLOOKUP($L641,Data_Validation!$A:$D,1,0)</f>
        <v>463D@</v>
      </c>
      <c r="U641" s="152" t="str">
        <f>+VLOOKUP($L641,Data_Validation!$A:$D,3,0)</f>
        <v>service</v>
      </c>
      <c r="V641" s="152" t="str">
        <f>+VLOOKUP($L641,Data_Validation!$A:$D,4,0)</f>
        <v>Sous-traitement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71" t="s">
        <v>1580</v>
      </c>
      <c r="B642" s="671" t="s">
        <v>1581</v>
      </c>
      <c r="C642" s="672"/>
      <c r="D642" s="672"/>
      <c r="E642" s="672"/>
      <c r="F642" s="671" t="s">
        <v>4</v>
      </c>
      <c r="G642" s="671" t="s">
        <v>1120</v>
      </c>
      <c r="H642" s="666" t="s">
        <v>2971</v>
      </c>
      <c r="I642" s="665">
        <v>-82</v>
      </c>
      <c r="J642" s="665">
        <v>-72</v>
      </c>
      <c r="K642" s="665">
        <v>-154</v>
      </c>
      <c r="L642" s="149" t="str">
        <f t="shared" ref="L642:L705" si="50">+B642</f>
        <v>470A@</v>
      </c>
      <c r="M642" s="150" t="str">
        <f t="shared" ref="M642:M705" si="51">+A642</f>
        <v># DE VTE - PCS BT CLIENT BMW AUTO</v>
      </c>
      <c r="N642" s="151">
        <f>+IF(OR($Q642=Parametres!$G$2,$Q642=Parametres!$G$3),I642,C642)</f>
        <v>-82</v>
      </c>
      <c r="O642" s="151">
        <f>+IF(OR($Q642=Parametres!$G$2,$Q642=Parametres!$G$3),J642,D642)</f>
        <v>-72</v>
      </c>
      <c r="P642" s="151">
        <f>+IF(OR($Q642=Parametres!$G$2,$Q642=Parametres!$G$3),K642,E642)</f>
        <v>-154</v>
      </c>
      <c r="Q642" s="150" t="str">
        <f t="shared" ref="Q642:Q705" si="52">+F642</f>
        <v>10-Compte compteur</v>
      </c>
      <c r="R642" s="149" t="str">
        <f t="shared" ref="R642:R705" si="53">+G642</f>
        <v>470A</v>
      </c>
      <c r="S642" s="150" t="str">
        <f t="shared" ref="S642:S705" si="54">+H642</f>
        <v>_</v>
      </c>
      <c r="T642" s="152" t="str">
        <f>+VLOOKUP($L642,Data_Validation!$A:$D,1,0)</f>
        <v>470A@</v>
      </c>
      <c r="U642" s="152" t="str">
        <f>+VLOOKUP($L642,Data_Validation!$A:$D,3,0)</f>
        <v>Pièces</v>
      </c>
      <c r="V642" s="152" t="str">
        <f>+VLOOKUP($L642,Data_Validation!$A:$D,4,0)</f>
        <v>Pièces Ro Clients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71" t="s">
        <v>1582</v>
      </c>
      <c r="B643" s="671" t="s">
        <v>750</v>
      </c>
      <c r="C643" s="672"/>
      <c r="D643" s="672"/>
      <c r="E643" s="672"/>
      <c r="F643" s="671" t="s">
        <v>4</v>
      </c>
      <c r="G643" s="671" t="s">
        <v>1120</v>
      </c>
      <c r="H643" s="666" t="s">
        <v>2971</v>
      </c>
      <c r="I643" s="665">
        <v>-139</v>
      </c>
      <c r="J643" s="665">
        <v>-55</v>
      </c>
      <c r="K643" s="665">
        <v>-194</v>
      </c>
      <c r="L643" s="149" t="str">
        <f t="shared" si="50"/>
        <v>470B@</v>
      </c>
      <c r="M643" s="150" t="str">
        <f t="shared" si="51"/>
        <v># DE VTE - PCS BT CLIENT BMW CAMION</v>
      </c>
      <c r="N643" s="151">
        <f>+IF(OR($Q643=Parametres!$G$2,$Q643=Parametres!$G$3),I643,C643)</f>
        <v>-139</v>
      </c>
      <c r="O643" s="151">
        <f>+IF(OR($Q643=Parametres!$G$2,$Q643=Parametres!$G$3),J643,D643)</f>
        <v>-55</v>
      </c>
      <c r="P643" s="151">
        <f>+IF(OR($Q643=Parametres!$G$2,$Q643=Parametres!$G$3),K643,E643)</f>
        <v>-194</v>
      </c>
      <c r="Q643" s="150" t="str">
        <f t="shared" si="52"/>
        <v>10-Compte compteur</v>
      </c>
      <c r="R643" s="149" t="str">
        <f t="shared" si="53"/>
        <v>470A</v>
      </c>
      <c r="S643" s="150" t="str">
        <f t="shared" si="54"/>
        <v>_</v>
      </c>
      <c r="T643" s="152" t="str">
        <f>+VLOOKUP($L643,Data_Validation!$A:$D,1,0)</f>
        <v>470B@</v>
      </c>
      <c r="U643" s="152" t="str">
        <f>+VLOOKUP($L643,Data_Validation!$A:$D,3,0)</f>
        <v>Pièces</v>
      </c>
      <c r="V643" s="152" t="str">
        <f>+VLOOKUP($L643,Data_Validation!$A:$D,4,0)</f>
        <v>Pièces Ro Clients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71" t="s">
        <v>1583</v>
      </c>
      <c r="B644" s="671" t="s">
        <v>1051</v>
      </c>
      <c r="C644" s="672"/>
      <c r="D644" s="672"/>
      <c r="E644" s="672"/>
      <c r="F644" s="671" t="s">
        <v>4</v>
      </c>
      <c r="G644" s="671" t="s">
        <v>1120</v>
      </c>
      <c r="H644" s="666" t="s">
        <v>2971</v>
      </c>
      <c r="I644" s="665">
        <v>-8</v>
      </c>
      <c r="J644" s="665">
        <v>-4</v>
      </c>
      <c r="K644" s="665">
        <v>-12</v>
      </c>
      <c r="L644" s="149" t="str">
        <f t="shared" si="50"/>
        <v>470D@</v>
      </c>
      <c r="M644" s="150" t="str">
        <f t="shared" si="51"/>
        <v># DE VTE - PIECES BT CLIENT BMW I</v>
      </c>
      <c r="N644" s="151">
        <f>+IF(OR($Q644=Parametres!$G$2,$Q644=Parametres!$G$3),I644,C644)</f>
        <v>-8</v>
      </c>
      <c r="O644" s="151">
        <f>+IF(OR($Q644=Parametres!$G$2,$Q644=Parametres!$G$3),J644,D644)</f>
        <v>-4</v>
      </c>
      <c r="P644" s="151">
        <f>+IF(OR($Q644=Parametres!$G$2,$Q644=Parametres!$G$3),K644,E644)</f>
        <v>-12</v>
      </c>
      <c r="Q644" s="150" t="str">
        <f t="shared" si="52"/>
        <v>10-Compte compteur</v>
      </c>
      <c r="R644" s="149" t="str">
        <f t="shared" si="53"/>
        <v>470A</v>
      </c>
      <c r="S644" s="150" t="str">
        <f t="shared" si="54"/>
        <v>_</v>
      </c>
      <c r="T644" s="152" t="str">
        <f>+VLOOKUP($L644,Data_Validation!$A:$D,1,0)</f>
        <v>470D@</v>
      </c>
      <c r="U644" s="152" t="str">
        <f>+VLOOKUP($L644,Data_Validation!$A:$D,3,0)</f>
        <v>Pièces</v>
      </c>
      <c r="V644" s="152" t="str">
        <f>+VLOOKUP($L644,Data_Validation!$A:$D,4,0)</f>
        <v>Pièces Ro Clients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71" t="s">
        <v>2426</v>
      </c>
      <c r="B645" s="671" t="s">
        <v>2427</v>
      </c>
      <c r="C645" s="672"/>
      <c r="D645" s="672"/>
      <c r="E645" s="672"/>
      <c r="F645" s="671" t="s">
        <v>4</v>
      </c>
      <c r="G645" s="671" t="s">
        <v>2083</v>
      </c>
      <c r="H645" s="666" t="s">
        <v>2971</v>
      </c>
      <c r="I645" s="665">
        <v>-2</v>
      </c>
      <c r="J645" s="665">
        <v>0</v>
      </c>
      <c r="K645" s="665">
        <v>-2</v>
      </c>
      <c r="L645" s="149" t="str">
        <f t="shared" si="50"/>
        <v>471B@</v>
      </c>
      <c r="M645" s="150" t="str">
        <f t="shared" si="51"/>
        <v># DE VTE - PCS BT CARROSS BMW CAMION</v>
      </c>
      <c r="N645" s="151">
        <f>+IF(OR($Q645=Parametres!$G$2,$Q645=Parametres!$G$3),I645,C645)</f>
        <v>-2</v>
      </c>
      <c r="O645" s="151">
        <f>+IF(OR($Q645=Parametres!$G$2,$Q645=Parametres!$G$3),J645,D645)</f>
        <v>0</v>
      </c>
      <c r="P645" s="151">
        <f>+IF(OR($Q645=Parametres!$G$2,$Q645=Parametres!$G$3),K645,E645)</f>
        <v>-2</v>
      </c>
      <c r="Q645" s="150" t="str">
        <f t="shared" si="52"/>
        <v>10-Compte compteur</v>
      </c>
      <c r="R645" s="149" t="str">
        <f t="shared" si="53"/>
        <v>471A</v>
      </c>
      <c r="S645" s="150" t="str">
        <f t="shared" si="54"/>
        <v>_</v>
      </c>
      <c r="T645" s="152" t="str">
        <f>+VLOOKUP($L645,Data_Validation!$A:$D,1,0)</f>
        <v>471B@</v>
      </c>
      <c r="U645" s="152" t="str">
        <f>+VLOOKUP($L645,Data_Validation!$A:$D,3,0)</f>
        <v>Pièces</v>
      </c>
      <c r="V645" s="152" t="str">
        <f>+VLOOKUP($L645,Data_Validation!$A:$D,4,0)</f>
        <v>Pièces Ro Carrosserie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71" t="s">
        <v>1584</v>
      </c>
      <c r="B646" s="671" t="s">
        <v>1585</v>
      </c>
      <c r="C646" s="672"/>
      <c r="D646" s="672"/>
      <c r="E646" s="672"/>
      <c r="F646" s="671" t="s">
        <v>4</v>
      </c>
      <c r="G646" s="671" t="s">
        <v>1096</v>
      </c>
      <c r="H646" s="666" t="s">
        <v>2971</v>
      </c>
      <c r="I646" s="665">
        <v>-61</v>
      </c>
      <c r="J646" s="665">
        <v>-12</v>
      </c>
      <c r="K646" s="665">
        <v>-73</v>
      </c>
      <c r="L646" s="149" t="str">
        <f t="shared" si="50"/>
        <v>472A@</v>
      </c>
      <c r="M646" s="150" t="str">
        <f t="shared" si="51"/>
        <v># DE VTE - PCS GARANTIE BMW AUTO</v>
      </c>
      <c r="N646" s="151">
        <f>+IF(OR($Q646=Parametres!$G$2,$Q646=Parametres!$G$3),I646,C646)</f>
        <v>-61</v>
      </c>
      <c r="O646" s="151">
        <f>+IF(OR($Q646=Parametres!$G$2,$Q646=Parametres!$G$3),J646,D646)</f>
        <v>-12</v>
      </c>
      <c r="P646" s="151">
        <f>+IF(OR($Q646=Parametres!$G$2,$Q646=Parametres!$G$3),K646,E646)</f>
        <v>-73</v>
      </c>
      <c r="Q646" s="150" t="str">
        <f t="shared" si="52"/>
        <v>10-Compte compteur</v>
      </c>
      <c r="R646" s="149" t="str">
        <f t="shared" si="53"/>
        <v>472A</v>
      </c>
      <c r="S646" s="150" t="str">
        <f t="shared" si="54"/>
        <v>_</v>
      </c>
      <c r="T646" s="152" t="str">
        <f>+VLOOKUP($L646,Data_Validation!$A:$D,1,0)</f>
        <v>472A@</v>
      </c>
      <c r="U646" s="152" t="str">
        <f>+VLOOKUP($L646,Data_Validation!$A:$D,3,0)</f>
        <v>pièces</v>
      </c>
      <c r="V646" s="152" t="str">
        <f>+VLOOKUP($L646,Data_Validation!$A:$D,4,0)</f>
        <v>P/A Garantie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71" t="s">
        <v>1586</v>
      </c>
      <c r="B647" s="671" t="s">
        <v>751</v>
      </c>
      <c r="C647" s="672"/>
      <c r="D647" s="672"/>
      <c r="E647" s="672"/>
      <c r="F647" s="671" t="s">
        <v>4</v>
      </c>
      <c r="G647" s="671" t="s">
        <v>1096</v>
      </c>
      <c r="H647" s="666" t="s">
        <v>2971</v>
      </c>
      <c r="I647" s="665">
        <v>-120</v>
      </c>
      <c r="J647" s="665">
        <v>-30</v>
      </c>
      <c r="K647" s="665">
        <v>-150</v>
      </c>
      <c r="L647" s="149" t="str">
        <f t="shared" si="50"/>
        <v>472B@</v>
      </c>
      <c r="M647" s="150" t="str">
        <f t="shared" si="51"/>
        <v># DE VTE - PCS GARANTIE BMW CAMION</v>
      </c>
      <c r="N647" s="151">
        <f>+IF(OR($Q647=Parametres!$G$2,$Q647=Parametres!$G$3),I647,C647)</f>
        <v>-120</v>
      </c>
      <c r="O647" s="151">
        <f>+IF(OR($Q647=Parametres!$G$2,$Q647=Parametres!$G$3),J647,D647)</f>
        <v>-30</v>
      </c>
      <c r="P647" s="151">
        <f>+IF(OR($Q647=Parametres!$G$2,$Q647=Parametres!$G$3),K647,E647)</f>
        <v>-150</v>
      </c>
      <c r="Q647" s="150" t="str">
        <f t="shared" si="52"/>
        <v>10-Compte compteur</v>
      </c>
      <c r="R647" s="149" t="str">
        <f t="shared" si="53"/>
        <v>472A</v>
      </c>
      <c r="S647" s="150" t="str">
        <f t="shared" si="54"/>
        <v>_</v>
      </c>
      <c r="T647" s="152" t="str">
        <f>+VLOOKUP($L647,Data_Validation!$A:$D,1,0)</f>
        <v>472B@</v>
      </c>
      <c r="U647" s="152" t="str">
        <f>+VLOOKUP($L647,Data_Validation!$A:$D,3,0)</f>
        <v>pièces</v>
      </c>
      <c r="V647" s="152" t="str">
        <f>+VLOOKUP($L647,Data_Validation!$A:$D,4,0)</f>
        <v>P/A Garantie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71" t="s">
        <v>1587</v>
      </c>
      <c r="B648" s="671" t="s">
        <v>752</v>
      </c>
      <c r="C648" s="672"/>
      <c r="D648" s="672"/>
      <c r="E648" s="672"/>
      <c r="F648" s="671" t="s">
        <v>4</v>
      </c>
      <c r="G648" s="671" t="s">
        <v>434</v>
      </c>
      <c r="H648" s="666" t="s">
        <v>2971</v>
      </c>
      <c r="I648" s="665">
        <v>-44</v>
      </c>
      <c r="J648" s="665">
        <v>-15</v>
      </c>
      <c r="K648" s="665">
        <v>-59</v>
      </c>
      <c r="L648" s="149" t="str">
        <f t="shared" si="50"/>
        <v>472D@</v>
      </c>
      <c r="M648" s="150" t="str">
        <f t="shared" si="51"/>
        <v># DE VTE - PCS ENTRETIEN BMW AUTO</v>
      </c>
      <c r="N648" s="151">
        <f>+IF(OR($Q648=Parametres!$G$2,$Q648=Parametres!$G$3),I648,C648)</f>
        <v>-44</v>
      </c>
      <c r="O648" s="151">
        <f>+IF(OR($Q648=Parametres!$G$2,$Q648=Parametres!$G$3),J648,D648)</f>
        <v>-15</v>
      </c>
      <c r="P648" s="151">
        <f>+IF(OR($Q648=Parametres!$G$2,$Q648=Parametres!$G$3),K648,E648)</f>
        <v>-59</v>
      </c>
      <c r="Q648" s="150" t="str">
        <f t="shared" si="52"/>
        <v>10-Compte compteur</v>
      </c>
      <c r="R648" s="149" t="str">
        <f t="shared" si="53"/>
        <v>472D</v>
      </c>
      <c r="S648" s="150" t="str">
        <f t="shared" si="54"/>
        <v>_</v>
      </c>
      <c r="T648" s="152" t="str">
        <f>+VLOOKUP($L648,Data_Validation!$A:$D,1,0)</f>
        <v>472D@</v>
      </c>
      <c r="U648" s="152" t="str">
        <f>+VLOOKUP($L648,Data_Validation!$A:$D,3,0)</f>
        <v>pièces</v>
      </c>
      <c r="V648" s="152" t="str">
        <f>+VLOOKUP($L648,Data_Validation!$A:$D,4,0)</f>
        <v>P/A Garantie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71" t="s">
        <v>1588</v>
      </c>
      <c r="B649" s="671" t="s">
        <v>753</v>
      </c>
      <c r="C649" s="672"/>
      <c r="D649" s="672"/>
      <c r="E649" s="672"/>
      <c r="F649" s="671" t="s">
        <v>4</v>
      </c>
      <c r="G649" s="671" t="s">
        <v>434</v>
      </c>
      <c r="H649" s="666" t="s">
        <v>2971</v>
      </c>
      <c r="I649" s="665">
        <v>-124</v>
      </c>
      <c r="J649" s="665">
        <v>-51</v>
      </c>
      <c r="K649" s="665">
        <v>-175</v>
      </c>
      <c r="L649" s="149" t="str">
        <f t="shared" si="50"/>
        <v>472E@</v>
      </c>
      <c r="M649" s="150" t="str">
        <f t="shared" si="51"/>
        <v># DE VTE - PCS ENTRETIEN BMW CAMION</v>
      </c>
      <c r="N649" s="151">
        <f>+IF(OR($Q649=Parametres!$G$2,$Q649=Parametres!$G$3),I649,C649)</f>
        <v>-124</v>
      </c>
      <c r="O649" s="477">
        <f>+IF(OR($Q649=Parametres!$G$2,$Q649=Parametres!$G$3),J649,D649)</f>
        <v>-51</v>
      </c>
      <c r="P649" s="151">
        <f>+IF(OR($Q649=Parametres!$G$2,$Q649=Parametres!$G$3),K649,E649)</f>
        <v>-175</v>
      </c>
      <c r="Q649" s="150" t="str">
        <f t="shared" si="52"/>
        <v>10-Compte compteur</v>
      </c>
      <c r="R649" s="149" t="str">
        <f t="shared" si="53"/>
        <v>472D</v>
      </c>
      <c r="S649" s="150" t="str">
        <f t="shared" si="54"/>
        <v>_</v>
      </c>
      <c r="T649" s="152" t="str">
        <f>+VLOOKUP($L649,Data_Validation!$A:$D,1,0)</f>
        <v>472E@</v>
      </c>
      <c r="U649" s="152" t="str">
        <f>+VLOOKUP($L649,Data_Validation!$A:$D,3,0)</f>
        <v>pièces</v>
      </c>
      <c r="V649" s="152" t="str">
        <f>+VLOOKUP($L649,Data_Validation!$A:$D,4,0)</f>
        <v>P/A Garantie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71" t="s">
        <v>1589</v>
      </c>
      <c r="B650" s="671" t="s">
        <v>1052</v>
      </c>
      <c r="C650" s="672"/>
      <c r="D650" s="672"/>
      <c r="E650" s="672"/>
      <c r="F650" s="671" t="s">
        <v>4</v>
      </c>
      <c r="G650" s="671" t="s">
        <v>434</v>
      </c>
      <c r="H650" s="666" t="s">
        <v>2971</v>
      </c>
      <c r="I650" s="665">
        <v>-5</v>
      </c>
      <c r="J650" s="665">
        <v>-8</v>
      </c>
      <c r="K650" s="665">
        <v>-13</v>
      </c>
      <c r="L650" s="149" t="str">
        <f t="shared" si="50"/>
        <v>472G@</v>
      </c>
      <c r="M650" s="150" t="str">
        <f t="shared" si="51"/>
        <v># DE VTE - PIECES ENTRETIEN BMW I</v>
      </c>
      <c r="N650" s="151">
        <f>+IF(OR($Q650=Parametres!$G$2,$Q650=Parametres!$G$3),I650,C650)</f>
        <v>-5</v>
      </c>
      <c r="O650" s="151">
        <f>+IF(OR($Q650=Parametres!$G$2,$Q650=Parametres!$G$3),J650,D650)</f>
        <v>-8</v>
      </c>
      <c r="P650" s="151">
        <f>+IF(OR($Q650=Parametres!$G$2,$Q650=Parametres!$G$3),K650,E650)</f>
        <v>-13</v>
      </c>
      <c r="Q650" s="150" t="str">
        <f t="shared" si="52"/>
        <v>10-Compte compteur</v>
      </c>
      <c r="R650" s="149" t="str">
        <f t="shared" si="53"/>
        <v>472D</v>
      </c>
      <c r="S650" s="150" t="str">
        <f t="shared" si="54"/>
        <v>_</v>
      </c>
      <c r="T650" s="152" t="str">
        <f>+VLOOKUP($L650,Data_Validation!$A:$D,1,0)</f>
        <v>472G@</v>
      </c>
      <c r="U650" s="152" t="str">
        <f>+VLOOKUP($L650,Data_Validation!$A:$D,3,0)</f>
        <v>pièces</v>
      </c>
      <c r="V650" s="152" t="str">
        <f>+VLOOKUP($L650,Data_Validation!$A:$D,4,0)</f>
        <v>P/A Garantie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71" t="s">
        <v>1053</v>
      </c>
      <c r="B651" s="671" t="s">
        <v>1054</v>
      </c>
      <c r="C651" s="672"/>
      <c r="D651" s="672"/>
      <c r="E651" s="672"/>
      <c r="F651" s="671" t="s">
        <v>4</v>
      </c>
      <c r="G651" s="671" t="s">
        <v>1096</v>
      </c>
      <c r="H651" s="666" t="s">
        <v>2971</v>
      </c>
      <c r="I651" s="665">
        <v>-21</v>
      </c>
      <c r="J651" s="665">
        <v>-10</v>
      </c>
      <c r="K651" s="665">
        <v>-31</v>
      </c>
      <c r="L651" s="149" t="str">
        <f t="shared" si="50"/>
        <v>472H@</v>
      </c>
      <c r="M651" s="150" t="str">
        <f t="shared" si="51"/>
        <v># DE VTE - PIECES GARANTIE BMW I</v>
      </c>
      <c r="N651" s="151">
        <f>+IF(OR($Q651=Parametres!$G$2,$Q651=Parametres!$G$3),I651,C651)</f>
        <v>-21</v>
      </c>
      <c r="O651" s="477">
        <f>+IF(OR($Q651=Parametres!$G$2,$Q651=Parametres!$G$3),J651,D651)</f>
        <v>-10</v>
      </c>
      <c r="P651" s="151">
        <f>+IF(OR($Q651=Parametres!$G$2,$Q651=Parametres!$G$3),K651,E651)</f>
        <v>-31</v>
      </c>
      <c r="Q651" s="150" t="str">
        <f t="shared" si="52"/>
        <v>10-Compte compteur</v>
      </c>
      <c r="R651" s="149" t="str">
        <f t="shared" si="53"/>
        <v>472A</v>
      </c>
      <c r="S651" s="150" t="str">
        <f t="shared" si="54"/>
        <v>_</v>
      </c>
      <c r="T651" s="152" t="str">
        <f>+VLOOKUP($L651,Data_Validation!$A:$D,1,0)</f>
        <v>472H@</v>
      </c>
      <c r="U651" s="152" t="str">
        <f>+VLOOKUP($L651,Data_Validation!$A:$D,3,0)</f>
        <v>pièces</v>
      </c>
      <c r="V651" s="152" t="str">
        <f>+VLOOKUP($L651,Data_Validation!$A:$D,4,0)</f>
        <v>P/A Garantie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71" t="s">
        <v>1590</v>
      </c>
      <c r="B652" s="671" t="s">
        <v>1591</v>
      </c>
      <c r="C652" s="672"/>
      <c r="D652" s="672"/>
      <c r="E652" s="672"/>
      <c r="F652" s="671" t="s">
        <v>4</v>
      </c>
      <c r="G652" s="671" t="s">
        <v>1132</v>
      </c>
      <c r="H652" s="666" t="s">
        <v>2971</v>
      </c>
      <c r="I652" s="665">
        <v>-83</v>
      </c>
      <c r="J652" s="665">
        <v>-45</v>
      </c>
      <c r="K652" s="665">
        <v>-128</v>
      </c>
      <c r="L652" s="149" t="str">
        <f t="shared" si="50"/>
        <v>473A@</v>
      </c>
      <c r="M652" s="150" t="str">
        <f t="shared" si="51"/>
        <v># DE VTE - PCS INTERNE BMW AUTO</v>
      </c>
      <c r="N652" s="151">
        <f>+IF(OR($Q652=Parametres!$G$2,$Q652=Parametres!$G$3),I652,C652)</f>
        <v>-83</v>
      </c>
      <c r="O652" s="151">
        <f>+IF(OR($Q652=Parametres!$G$2,$Q652=Parametres!$G$3),J652,D652)</f>
        <v>-45</v>
      </c>
      <c r="P652" s="151">
        <f>+IF(OR($Q652=Parametres!$G$2,$Q652=Parametres!$G$3),K652,E652)</f>
        <v>-128</v>
      </c>
      <c r="Q652" s="150" t="str">
        <f t="shared" si="52"/>
        <v>10-Compte compteur</v>
      </c>
      <c r="R652" s="149" t="str">
        <f t="shared" si="53"/>
        <v>473A</v>
      </c>
      <c r="S652" s="150" t="str">
        <f t="shared" si="54"/>
        <v>_</v>
      </c>
      <c r="T652" s="152" t="str">
        <f>+VLOOKUP($L652,Data_Validation!$A:$D,1,0)</f>
        <v>473A@</v>
      </c>
      <c r="U652" s="152" t="str">
        <f>+VLOOKUP($L652,Data_Validation!$A:$D,3,0)</f>
        <v>pièces</v>
      </c>
      <c r="V652" s="152" t="str">
        <f>+VLOOKUP($L652,Data_Validation!$A:$D,4,0)</f>
        <v>Ventes Internes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71" t="s">
        <v>1592</v>
      </c>
      <c r="B653" s="671" t="s">
        <v>754</v>
      </c>
      <c r="C653" s="672"/>
      <c r="D653" s="672"/>
      <c r="E653" s="672"/>
      <c r="F653" s="671" t="s">
        <v>4</v>
      </c>
      <c r="G653" s="671" t="s">
        <v>1132</v>
      </c>
      <c r="H653" s="666" t="s">
        <v>2971</v>
      </c>
      <c r="I653" s="665">
        <v>-68</v>
      </c>
      <c r="J653" s="665">
        <v>-24</v>
      </c>
      <c r="K653" s="665">
        <v>-92</v>
      </c>
      <c r="L653" s="149" t="str">
        <f t="shared" si="50"/>
        <v>473B@</v>
      </c>
      <c r="M653" s="150" t="str">
        <f t="shared" si="51"/>
        <v># DE VTE - PCS INTERNE BMW CAMION</v>
      </c>
      <c r="N653" s="151">
        <f>+IF(OR($Q653=Parametres!$G$2,$Q653=Parametres!$G$3),I653,C653)</f>
        <v>-68</v>
      </c>
      <c r="O653" s="477">
        <f>+IF(OR($Q653=Parametres!$G$2,$Q653=Parametres!$G$3),J653,D653)</f>
        <v>-24</v>
      </c>
      <c r="P653" s="151">
        <f>+IF(OR($Q653=Parametres!$G$2,$Q653=Parametres!$G$3),K653,E653)</f>
        <v>-92</v>
      </c>
      <c r="Q653" s="150" t="str">
        <f t="shared" si="52"/>
        <v>10-Compte compteur</v>
      </c>
      <c r="R653" s="149" t="str">
        <f t="shared" si="53"/>
        <v>473A</v>
      </c>
      <c r="S653" s="150" t="str">
        <f t="shared" si="54"/>
        <v>_</v>
      </c>
      <c r="T653" s="152" t="str">
        <f>+VLOOKUP($L653,Data_Validation!$A:$D,1,0)</f>
        <v>473B@</v>
      </c>
      <c r="U653" s="152" t="str">
        <f>+VLOOKUP($L653,Data_Validation!$A:$D,3,0)</f>
        <v>pièces</v>
      </c>
      <c r="V653" s="152" t="str">
        <f>+VLOOKUP($L653,Data_Validation!$A:$D,4,0)</f>
        <v>Ventes Internes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71" t="s">
        <v>1055</v>
      </c>
      <c r="B654" s="671" t="s">
        <v>1056</v>
      </c>
      <c r="C654" s="672"/>
      <c r="D654" s="672"/>
      <c r="E654" s="672"/>
      <c r="F654" s="671" t="s">
        <v>4</v>
      </c>
      <c r="G654" s="671" t="s">
        <v>1132</v>
      </c>
      <c r="H654" s="666" t="s">
        <v>2971</v>
      </c>
      <c r="I654" s="665">
        <v>-16</v>
      </c>
      <c r="J654" s="665">
        <v>-6</v>
      </c>
      <c r="K654" s="665">
        <v>-22</v>
      </c>
      <c r="L654" s="149" t="str">
        <f t="shared" si="50"/>
        <v>473D@</v>
      </c>
      <c r="M654" s="150" t="str">
        <f t="shared" si="51"/>
        <v># DE VTE - PIECES INTERNE BMW I</v>
      </c>
      <c r="N654" s="151">
        <f>+IF(OR($Q654=Parametres!$G$2,$Q654=Parametres!$G$3),I654,C654)</f>
        <v>-16</v>
      </c>
      <c r="O654" s="151">
        <f>+IF(OR($Q654=Parametres!$G$2,$Q654=Parametres!$G$3),J654,D654)</f>
        <v>-6</v>
      </c>
      <c r="P654" s="151">
        <f>+IF(OR($Q654=Parametres!$G$2,$Q654=Parametres!$G$3),K654,E654)</f>
        <v>-22</v>
      </c>
      <c r="Q654" s="150" t="str">
        <f t="shared" si="52"/>
        <v>10-Compte compteur</v>
      </c>
      <c r="R654" s="149" t="str">
        <f t="shared" si="53"/>
        <v>473A</v>
      </c>
      <c r="S654" s="150" t="str">
        <f t="shared" si="54"/>
        <v>_</v>
      </c>
      <c r="T654" s="152" t="str">
        <f>+VLOOKUP($L654,Data_Validation!$A:$D,1,0)</f>
        <v>473D@</v>
      </c>
      <c r="U654" s="152" t="str">
        <f>+VLOOKUP($L654,Data_Validation!$A:$D,3,0)</f>
        <v>pièces</v>
      </c>
      <c r="V654" s="152" t="str">
        <f>+VLOOKUP($L654,Data_Validation!$A:$D,4,0)</f>
        <v>Ventes Internes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71" t="s">
        <v>1593</v>
      </c>
      <c r="B655" s="671" t="s">
        <v>1594</v>
      </c>
      <c r="C655" s="672"/>
      <c r="D655" s="672"/>
      <c r="E655" s="672"/>
      <c r="F655" s="671" t="s">
        <v>4</v>
      </c>
      <c r="G655" s="671" t="s">
        <v>1118</v>
      </c>
      <c r="H655" s="666" t="s">
        <v>2971</v>
      </c>
      <c r="I655" s="665">
        <v>-217</v>
      </c>
      <c r="J655" s="665">
        <v>-76</v>
      </c>
      <c r="K655" s="665">
        <v>-293</v>
      </c>
      <c r="L655" s="149" t="str">
        <f t="shared" si="50"/>
        <v>474A@</v>
      </c>
      <c r="M655" s="150" t="str">
        <f t="shared" si="51"/>
        <v># DE VTE - PCS COMPTOIR BMW AUTO</v>
      </c>
      <c r="N655" s="151">
        <f>+IF(OR($Q655=Parametres!$G$2,$Q655=Parametres!$G$3),I655,C655)</f>
        <v>-217</v>
      </c>
      <c r="O655" s="477">
        <f>+IF(OR($Q655=Parametres!$G$2,$Q655=Parametres!$G$3),J655,D655)</f>
        <v>-76</v>
      </c>
      <c r="P655" s="151">
        <f>+IF(OR($Q655=Parametres!$G$2,$Q655=Parametres!$G$3),K655,E655)</f>
        <v>-293</v>
      </c>
      <c r="Q655" s="150" t="str">
        <f t="shared" si="52"/>
        <v>10-Compte compteur</v>
      </c>
      <c r="R655" s="149" t="str">
        <f t="shared" si="53"/>
        <v>474A</v>
      </c>
      <c r="S655" s="150" t="str">
        <f t="shared" si="54"/>
        <v>_</v>
      </c>
      <c r="T655" s="152" t="str">
        <f>+VLOOKUP($L655,Data_Validation!$A:$D,1,0)</f>
        <v>474A@</v>
      </c>
      <c r="U655" s="152" t="str">
        <f>+VLOOKUP($L655,Data_Validation!$A:$D,3,0)</f>
        <v>pièces</v>
      </c>
      <c r="V655" s="152" t="str">
        <f>+VLOOKUP($L655,Data_Validation!$A:$D,4,0)</f>
        <v>Ventes Détails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71" t="s">
        <v>1595</v>
      </c>
      <c r="B656" s="671" t="s">
        <v>755</v>
      </c>
      <c r="C656" s="672"/>
      <c r="D656" s="672"/>
      <c r="E656" s="672"/>
      <c r="F656" s="671" t="s">
        <v>4</v>
      </c>
      <c r="G656" s="671" t="s">
        <v>1118</v>
      </c>
      <c r="H656" s="666" t="s">
        <v>2971</v>
      </c>
      <c r="I656" s="665">
        <v>-16</v>
      </c>
      <c r="J656" s="665">
        <v>-13</v>
      </c>
      <c r="K656" s="665">
        <v>-29</v>
      </c>
      <c r="L656" s="149" t="str">
        <f t="shared" si="50"/>
        <v>474D@</v>
      </c>
      <c r="M656" s="150" t="str">
        <f t="shared" si="51"/>
        <v># DE VTE - PCS COMP. BMW LIFESTYLE</v>
      </c>
      <c r="N656" s="151">
        <f>+IF(OR($Q656=Parametres!$G$2,$Q656=Parametres!$G$3),I656,C656)</f>
        <v>-16</v>
      </c>
      <c r="O656" s="477">
        <f>+IF(OR($Q656=Parametres!$G$2,$Q656=Parametres!$G$3),J656,D656)</f>
        <v>-13</v>
      </c>
      <c r="P656" s="151">
        <f>+IF(OR($Q656=Parametres!$G$2,$Q656=Parametres!$G$3),K656,E656)</f>
        <v>-29</v>
      </c>
      <c r="Q656" s="150" t="str">
        <f t="shared" si="52"/>
        <v>10-Compte compteur</v>
      </c>
      <c r="R656" s="149" t="str">
        <f t="shared" si="53"/>
        <v>474A</v>
      </c>
      <c r="S656" s="150" t="str">
        <f t="shared" si="54"/>
        <v>_</v>
      </c>
      <c r="T656" s="152" t="str">
        <f>+VLOOKUP($L656,Data_Validation!$A:$D,1,0)</f>
        <v>474D@</v>
      </c>
      <c r="U656" s="152" t="str">
        <f>+VLOOKUP($L656,Data_Validation!$A:$D,3,0)</f>
        <v>pièces</v>
      </c>
      <c r="V656" s="152" t="str">
        <f>+VLOOKUP($L656,Data_Validation!$A:$D,4,0)</f>
        <v>Ventes Détails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71" t="s">
        <v>1596</v>
      </c>
      <c r="B657" s="671" t="s">
        <v>756</v>
      </c>
      <c r="C657" s="672"/>
      <c r="D657" s="672"/>
      <c r="E657" s="672"/>
      <c r="F657" s="671" t="s">
        <v>4</v>
      </c>
      <c r="G657" s="671" t="s">
        <v>1118</v>
      </c>
      <c r="H657" s="666" t="s">
        <v>2971</v>
      </c>
      <c r="I657" s="665">
        <v>-70</v>
      </c>
      <c r="J657" s="665">
        <v>-20</v>
      </c>
      <c r="K657" s="665">
        <v>-90</v>
      </c>
      <c r="L657" s="149" t="str">
        <f t="shared" si="50"/>
        <v>474E@</v>
      </c>
      <c r="M657" s="150" t="str">
        <f t="shared" si="51"/>
        <v># DE VTE - PCS COMP. BMW ACCESS.</v>
      </c>
      <c r="N657" s="151">
        <f>+IF(OR($Q657=Parametres!$G$2,$Q657=Parametres!$G$3),I657,C657)</f>
        <v>-70</v>
      </c>
      <c r="O657" s="477">
        <f>+IF(OR($Q657=Parametres!$G$2,$Q657=Parametres!$G$3),J657,D657)</f>
        <v>-20</v>
      </c>
      <c r="P657" s="151">
        <f>+IF(OR($Q657=Parametres!$G$2,$Q657=Parametres!$G$3),K657,E657)</f>
        <v>-90</v>
      </c>
      <c r="Q657" s="150" t="str">
        <f t="shared" si="52"/>
        <v>10-Compte compteur</v>
      </c>
      <c r="R657" s="149" t="str">
        <f t="shared" si="53"/>
        <v>474A</v>
      </c>
      <c r="S657" s="150" t="str">
        <f t="shared" si="54"/>
        <v>_</v>
      </c>
      <c r="T657" s="152" t="str">
        <f>+VLOOKUP($L657,Data_Validation!$A:$D,1,0)</f>
        <v>474E@</v>
      </c>
      <c r="U657" s="152" t="str">
        <f>+VLOOKUP($L657,Data_Validation!$A:$D,3,0)</f>
        <v>pièces</v>
      </c>
      <c r="V657" s="152" t="str">
        <f>+VLOOKUP($L657,Data_Validation!$A:$D,4,0)</f>
        <v>Ventes Détails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71" t="s">
        <v>1597</v>
      </c>
      <c r="B658" s="671" t="s">
        <v>1598</v>
      </c>
      <c r="C658" s="672"/>
      <c r="D658" s="672"/>
      <c r="E658" s="672"/>
      <c r="F658" s="671" t="s">
        <v>4</v>
      </c>
      <c r="G658" s="671" t="s">
        <v>1167</v>
      </c>
      <c r="H658" s="666" t="s">
        <v>2971</v>
      </c>
      <c r="I658" s="665">
        <v>-273</v>
      </c>
      <c r="J658" s="665">
        <v>-115</v>
      </c>
      <c r="K658" s="665">
        <v>-388</v>
      </c>
      <c r="L658" s="149" t="str">
        <f t="shared" si="50"/>
        <v>475A@</v>
      </c>
      <c r="M658" s="150" t="str">
        <f t="shared" si="51"/>
        <v># DE VTE - PIECES GROS BMW AUTO</v>
      </c>
      <c r="N658" s="151">
        <f>+IF(OR($Q658=Parametres!$G$2,$Q658=Parametres!$G$3),I658,C658)</f>
        <v>-273</v>
      </c>
      <c r="O658" s="477">
        <f>+IF(OR($Q658=Parametres!$G$2,$Q658=Parametres!$G$3),J658,D658)</f>
        <v>-115</v>
      </c>
      <c r="P658" s="151">
        <f>+IF(OR($Q658=Parametres!$G$2,$Q658=Parametres!$G$3),K658,E658)</f>
        <v>-388</v>
      </c>
      <c r="Q658" s="150" t="str">
        <f t="shared" si="52"/>
        <v>10-Compte compteur</v>
      </c>
      <c r="R658" s="149" t="str">
        <f t="shared" si="53"/>
        <v>475A</v>
      </c>
      <c r="S658" s="150" t="str">
        <f t="shared" si="54"/>
        <v>_</v>
      </c>
      <c r="T658" s="152" t="str">
        <f>+VLOOKUP($L658,Data_Validation!$A:$D,1,0)</f>
        <v>475A@</v>
      </c>
      <c r="U658" s="152" t="str">
        <f>+VLOOKUP($L658,Data_Validation!$A:$D,3,0)</f>
        <v>pièces</v>
      </c>
      <c r="V658" s="152" t="str">
        <f>+VLOOKUP($L658,Data_Validation!$A:$D,4,0)</f>
        <v>Ventes de Gros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71" t="s">
        <v>1600</v>
      </c>
      <c r="B659" s="671" t="s">
        <v>761</v>
      </c>
      <c r="C659" s="672"/>
      <c r="D659" s="672"/>
      <c r="E659" s="672"/>
      <c r="F659" s="671" t="s">
        <v>4</v>
      </c>
      <c r="G659" s="671" t="s">
        <v>417</v>
      </c>
      <c r="H659" s="666" t="s">
        <v>2971</v>
      </c>
      <c r="I659" s="665">
        <v>-282</v>
      </c>
      <c r="J659" s="665">
        <v>-442</v>
      </c>
      <c r="K659" s="665">
        <v>-724</v>
      </c>
      <c r="L659" s="149" t="str">
        <f t="shared" si="50"/>
        <v>488A@</v>
      </c>
      <c r="M659" s="150" t="str">
        <f t="shared" si="51"/>
        <v># DE VTE - PNEUS</v>
      </c>
      <c r="N659" s="151">
        <f>+IF(OR($Q659=Parametres!$G$2,$Q659=Parametres!$G$3),I659,C659)</f>
        <v>-282</v>
      </c>
      <c r="O659" s="151">
        <f>+IF(OR($Q659=Parametres!$G$2,$Q659=Parametres!$G$3),J659,D659)</f>
        <v>-442</v>
      </c>
      <c r="P659" s="151">
        <f>+IF(OR($Q659=Parametres!$G$2,$Q659=Parametres!$G$3),K659,E659)</f>
        <v>-724</v>
      </c>
      <c r="Q659" s="150" t="str">
        <f t="shared" si="52"/>
        <v>10-Compte compteur</v>
      </c>
      <c r="R659" s="149" t="str">
        <f t="shared" si="53"/>
        <v>488A</v>
      </c>
      <c r="S659" s="150" t="str">
        <f t="shared" si="54"/>
        <v>_</v>
      </c>
      <c r="T659" s="152" t="str">
        <f>+VLOOKUP($L659,Data_Validation!$A:$D,1,0)</f>
        <v>488A@</v>
      </c>
      <c r="U659" s="152" t="str">
        <f>+VLOOKUP($L659,Data_Validation!$A:$D,3,0)</f>
        <v>pièces</v>
      </c>
      <c r="V659" s="152" t="str">
        <f>+VLOOKUP($L659,Data_Validation!$A:$D,4,0)</f>
        <v>Ventes Pneus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71" t="s">
        <v>1601</v>
      </c>
      <c r="B660" s="671" t="s">
        <v>762</v>
      </c>
      <c r="C660" s="672"/>
      <c r="D660" s="672"/>
      <c r="E660" s="672"/>
      <c r="F660" s="671" t="s">
        <v>4</v>
      </c>
      <c r="G660" s="671" t="s">
        <v>445</v>
      </c>
      <c r="H660" s="666" t="s">
        <v>2971</v>
      </c>
      <c r="I660" s="665">
        <v>-142</v>
      </c>
      <c r="J660" s="665">
        <v>-84</v>
      </c>
      <c r="K660" s="665">
        <v>-226</v>
      </c>
      <c r="L660" s="149" t="str">
        <f t="shared" si="50"/>
        <v>489A@</v>
      </c>
      <c r="M660" s="150" t="str">
        <f t="shared" si="51"/>
        <v># DE VTE - HUILES &amp; GRAISSES</v>
      </c>
      <c r="N660" s="151">
        <f>+IF(OR($Q660=Parametres!$G$2,$Q660=Parametres!$G$3),I660,C660)</f>
        <v>-142</v>
      </c>
      <c r="O660" s="151">
        <f>+IF(OR($Q660=Parametres!$G$2,$Q660=Parametres!$G$3),J660,D660)</f>
        <v>-84</v>
      </c>
      <c r="P660" s="151">
        <f>+IF(OR($Q660=Parametres!$G$2,$Q660=Parametres!$G$3),K660,E660)</f>
        <v>-226</v>
      </c>
      <c r="Q660" s="150" t="str">
        <f t="shared" si="52"/>
        <v>10-Compte compteur</v>
      </c>
      <c r="R660" s="149" t="str">
        <f t="shared" si="53"/>
        <v>489A</v>
      </c>
      <c r="S660" s="150" t="str">
        <f t="shared" si="54"/>
        <v>_</v>
      </c>
      <c r="T660" s="152" t="str">
        <f>+VLOOKUP($L660,Data_Validation!$A:$D,1,0)</f>
        <v>489A@</v>
      </c>
      <c r="U660" s="152" t="str">
        <f>+VLOOKUP($L660,Data_Validation!$A:$D,3,0)</f>
        <v>pièces</v>
      </c>
      <c r="V660" s="152" t="str">
        <f>+VLOOKUP($L660,Data_Validation!$A:$D,4,0)</f>
        <v>Huiles et Graisse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71" t="s">
        <v>1602</v>
      </c>
      <c r="B661" s="671" t="s">
        <v>1603</v>
      </c>
      <c r="C661" s="672"/>
      <c r="D661" s="672"/>
      <c r="E661" s="672"/>
      <c r="F661" s="671" t="s">
        <v>4</v>
      </c>
      <c r="G661" s="671" t="s">
        <v>445</v>
      </c>
      <c r="H661" s="666" t="s">
        <v>2971</v>
      </c>
      <c r="I661" s="665">
        <v>-233</v>
      </c>
      <c r="J661" s="665">
        <v>-96</v>
      </c>
      <c r="K661" s="665">
        <v>-329</v>
      </c>
      <c r="L661" s="149" t="str">
        <f t="shared" si="50"/>
        <v>489B@</v>
      </c>
      <c r="M661" s="150" t="str">
        <f t="shared" si="51"/>
        <v># DE VTE - HUILE &amp; GRAISSE</v>
      </c>
      <c r="N661" s="151">
        <f>+IF(OR($Q661=Parametres!$G$2,$Q661=Parametres!$G$3),I661,C661)</f>
        <v>-233</v>
      </c>
      <c r="O661" s="151">
        <f>+IF(OR($Q661=Parametres!$G$2,$Q661=Parametres!$G$3),J661,D661)</f>
        <v>-96</v>
      </c>
      <c r="P661" s="151">
        <f>+IF(OR($Q661=Parametres!$G$2,$Q661=Parametres!$G$3),K661,E661)</f>
        <v>-329</v>
      </c>
      <c r="Q661" s="150" t="str">
        <f t="shared" si="52"/>
        <v>10-Compte compteur</v>
      </c>
      <c r="R661" s="149" t="str">
        <f t="shared" si="53"/>
        <v>489A</v>
      </c>
      <c r="S661" s="150" t="str">
        <f t="shared" si="54"/>
        <v>_</v>
      </c>
      <c r="T661" s="152" t="str">
        <f>+VLOOKUP($L661,Data_Validation!$A:$D,1,0)</f>
        <v>489B@</v>
      </c>
      <c r="U661" s="152" t="str">
        <f>+VLOOKUP($L661,Data_Validation!$A:$D,3,0)</f>
        <v>pièces</v>
      </c>
      <c r="V661" s="152" t="str">
        <f>+VLOOKUP($L661,Data_Validation!$A:$D,4,0)</f>
        <v>Huiles et Graisse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71" t="s">
        <v>1602</v>
      </c>
      <c r="B662" s="671" t="s">
        <v>1603</v>
      </c>
      <c r="C662" s="672"/>
      <c r="D662" s="672"/>
      <c r="E662" s="672"/>
      <c r="F662" s="671" t="s">
        <v>4</v>
      </c>
      <c r="G662" s="671" t="s">
        <v>445</v>
      </c>
      <c r="H662" s="666" t="s">
        <v>2971</v>
      </c>
      <c r="I662" s="665">
        <v>-233</v>
      </c>
      <c r="J662" s="665">
        <v>-96</v>
      </c>
      <c r="K662" s="665">
        <v>-329</v>
      </c>
      <c r="L662" s="149" t="str">
        <f t="shared" si="50"/>
        <v>489B@</v>
      </c>
      <c r="M662" s="150" t="str">
        <f t="shared" si="51"/>
        <v># DE VTE - HUILE &amp; GRAISSE</v>
      </c>
      <c r="N662" s="151">
        <f>+IF(OR($Q662=Parametres!$G$2,$Q662=Parametres!$G$3),I662,C662)</f>
        <v>-233</v>
      </c>
      <c r="O662" s="501">
        <f>+IF(OR($Q662=Parametres!$G$2,$Q662=Parametres!$G$3),J662,D662)</f>
        <v>-96</v>
      </c>
      <c r="P662" s="151">
        <f>+IF(OR($Q662=Parametres!$G$2,$Q662=Parametres!$G$3),K662,E662)</f>
        <v>-329</v>
      </c>
      <c r="Q662" s="150" t="str">
        <f t="shared" si="52"/>
        <v>10-Compte compteur</v>
      </c>
      <c r="R662" s="149" t="str">
        <f t="shared" si="53"/>
        <v>489A</v>
      </c>
      <c r="S662" s="150" t="str">
        <f t="shared" si="54"/>
        <v>_</v>
      </c>
      <c r="T662" s="152" t="str">
        <f>+VLOOKUP($L662,Data_Validation!$A:$D,1,0)</f>
        <v>489B@</v>
      </c>
      <c r="U662" s="152" t="str">
        <f>+VLOOKUP($L662,Data_Validation!$A:$D,3,0)</f>
        <v>pièces</v>
      </c>
      <c r="V662" s="152" t="str">
        <f>+VLOOKUP($L662,Data_Validation!$A:$D,4,0)</f>
        <v>Huiles et Graisse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4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2448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2448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2448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2448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2448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2448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2448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2448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2448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2448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2539</v>
      </c>
      <c r="B24" s="718" t="s">
        <v>2540</v>
      </c>
      <c r="C24" s="720"/>
      <c r="D24" s="720"/>
      <c r="E24" s="720"/>
      <c r="F24" s="718" t="s">
        <v>1</v>
      </c>
      <c r="G24" s="718" t="s">
        <v>2448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2450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2450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2541</v>
      </c>
      <c r="B27" s="718" t="s">
        <v>2542</v>
      </c>
      <c r="C27" s="720"/>
      <c r="D27" s="720"/>
      <c r="E27" s="720"/>
      <c r="F27" s="718" t="s">
        <v>1</v>
      </c>
      <c r="G27" s="718" t="s">
        <v>2450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2468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2468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2468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2468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2413</v>
      </c>
      <c r="B33" s="718" t="s">
        <v>2414</v>
      </c>
      <c r="C33" s="720"/>
      <c r="D33" s="720"/>
      <c r="E33" s="720"/>
      <c r="F33" s="718" t="s">
        <v>1</v>
      </c>
      <c r="G33" s="718" t="s">
        <v>2468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2166</v>
      </c>
      <c r="B34" s="718" t="s">
        <v>2167</v>
      </c>
      <c r="C34" s="720"/>
      <c r="D34" s="720"/>
      <c r="E34" s="720"/>
      <c r="F34" s="718" t="s">
        <v>1</v>
      </c>
      <c r="G34" s="718" t="s">
        <v>2468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2188</v>
      </c>
      <c r="B35" s="718" t="s">
        <v>2189</v>
      </c>
      <c r="C35" s="720"/>
      <c r="D35" s="720"/>
      <c r="E35" s="720"/>
      <c r="F35" s="718" t="s">
        <v>1</v>
      </c>
      <c r="G35" s="718" t="s">
        <v>2468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2215</v>
      </c>
      <c r="B36" s="718" t="s">
        <v>2216</v>
      </c>
      <c r="C36" s="720"/>
      <c r="D36" s="720"/>
      <c r="E36" s="720"/>
      <c r="F36" s="718" t="s">
        <v>1</v>
      </c>
      <c r="G36" s="718" t="s">
        <v>2468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2543</v>
      </c>
      <c r="B37" s="718" t="s">
        <v>2544</v>
      </c>
      <c r="C37" s="720"/>
      <c r="D37" s="720"/>
      <c r="E37" s="720"/>
      <c r="F37" s="718" t="s">
        <v>1</v>
      </c>
      <c r="G37" s="718" t="s">
        <v>2468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2449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2449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2449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2449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2449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2449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2449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2449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2449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2449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2449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2545</v>
      </c>
      <c r="B49" s="718" t="s">
        <v>2546</v>
      </c>
      <c r="C49" s="720"/>
      <c r="D49" s="720"/>
      <c r="E49" s="720"/>
      <c r="F49" s="718" t="s">
        <v>1</v>
      </c>
      <c r="G49" s="718" t="s">
        <v>2449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2450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2450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2450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2450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2450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2450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2450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2450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2451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2451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2451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2451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2451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2451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2451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2451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2451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2451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2547</v>
      </c>
      <c r="B70" s="718" t="s">
        <v>2548</v>
      </c>
      <c r="C70" s="720"/>
      <c r="D70" s="720"/>
      <c r="E70" s="720"/>
      <c r="F70" s="718" t="s">
        <v>1</v>
      </c>
      <c r="G70" s="718" t="s">
        <v>2451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2452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2452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2452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2452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2484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2453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2453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2453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2453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2454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2454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2454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2454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2460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2455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2456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2457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2458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2458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2459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2226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2226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2337</v>
      </c>
      <c r="B132" s="718" t="s">
        <v>2338</v>
      </c>
      <c r="C132" s="720">
        <v>2750000</v>
      </c>
      <c r="D132" s="720">
        <v>0</v>
      </c>
      <c r="E132" s="720">
        <v>2750000</v>
      </c>
      <c r="F132" s="718" t="s">
        <v>2226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2226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2226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2226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2339</v>
      </c>
      <c r="B136" s="718" t="s">
        <v>2340</v>
      </c>
      <c r="C136" s="719">
        <v>137799.5</v>
      </c>
      <c r="D136" s="719">
        <v>-137799.5</v>
      </c>
      <c r="E136" s="719">
        <v>0</v>
      </c>
      <c r="F136" s="718" t="s">
        <v>2226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2226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2332</v>
      </c>
      <c r="B138" s="718" t="s">
        <v>2333</v>
      </c>
      <c r="C138" s="720">
        <v>-681.89</v>
      </c>
      <c r="D138" s="720">
        <v>2014.45</v>
      </c>
      <c r="E138" s="720">
        <v>1332.56</v>
      </c>
      <c r="F138" s="718" t="s">
        <v>2226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2302</v>
      </c>
      <c r="B139" s="718" t="s">
        <v>2303</v>
      </c>
      <c r="C139" s="720">
        <v>9919</v>
      </c>
      <c r="D139" s="720">
        <v>0</v>
      </c>
      <c r="E139" s="720">
        <v>9919</v>
      </c>
      <c r="F139" s="718" t="s">
        <v>2226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2197</v>
      </c>
      <c r="B140" s="718" t="s">
        <v>2198</v>
      </c>
      <c r="C140" s="720">
        <v>479.47</v>
      </c>
      <c r="D140" s="720">
        <v>4528.41</v>
      </c>
      <c r="E140" s="720">
        <v>5007.88</v>
      </c>
      <c r="F140" s="718" t="s">
        <v>2226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2226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2226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2226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2226</v>
      </c>
      <c r="G144" s="718" t="s">
        <v>2247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2226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2226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2226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2226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2226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2226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2226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2226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2226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2226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2226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2226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2226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2226</v>
      </c>
      <c r="G158" s="718" t="s">
        <v>2246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2226</v>
      </c>
      <c r="G159" s="718" t="s">
        <v>2246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2226</v>
      </c>
      <c r="G160" s="718" t="s">
        <v>2246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2226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2226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2226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2226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2226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2226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2226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2226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2226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2226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2226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2226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2226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2226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2226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2226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2227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2227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2227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2227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2227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2227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2227</v>
      </c>
      <c r="G183" s="718" t="s">
        <v>2249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2227</v>
      </c>
      <c r="G184" s="718" t="s">
        <v>2249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2227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2199</v>
      </c>
      <c r="B186" s="718" t="s">
        <v>2200</v>
      </c>
      <c r="C186" s="720">
        <v>-83547.539999999994</v>
      </c>
      <c r="D186" s="720">
        <v>13988.14</v>
      </c>
      <c r="E186" s="720">
        <v>-69559.399999999994</v>
      </c>
      <c r="F186" s="718" t="s">
        <v>2227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2420</v>
      </c>
      <c r="B187" s="718" t="s">
        <v>2421</v>
      </c>
      <c r="C187" s="720">
        <v>-277.20999999999998</v>
      </c>
      <c r="D187" s="720">
        <v>-183.5</v>
      </c>
      <c r="E187" s="720">
        <v>-460.71</v>
      </c>
      <c r="F187" s="718" t="s">
        <v>2227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2549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2227</v>
      </c>
      <c r="G188" s="718" t="s">
        <v>2249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2441</v>
      </c>
      <c r="B189" s="718" t="s">
        <v>2442</v>
      </c>
      <c r="C189" s="720">
        <v>0</v>
      </c>
      <c r="D189" s="720">
        <v>-12212</v>
      </c>
      <c r="E189" s="720">
        <v>-12212</v>
      </c>
      <c r="F189" s="718" t="s">
        <v>2227</v>
      </c>
      <c r="G189" s="718" t="s">
        <v>2249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2227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2227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2227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2227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2227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2227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2227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2227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2227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2431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2227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2227</v>
      </c>
      <c r="G200" s="718" t="s">
        <v>2251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2227</v>
      </c>
      <c r="G201" s="718" t="s">
        <v>2251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2227</v>
      </c>
      <c r="G202" s="718" t="s">
        <v>2251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2227</v>
      </c>
      <c r="G203" s="718" t="s">
        <v>2251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2227</v>
      </c>
      <c r="G204" s="718" t="s">
        <v>2251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2227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2227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2415</v>
      </c>
      <c r="B207" s="718" t="s">
        <v>2416</v>
      </c>
      <c r="C207" s="720">
        <v>-32366.87</v>
      </c>
      <c r="D207" s="720">
        <v>-5454.25</v>
      </c>
      <c r="E207" s="720">
        <v>-37821.120000000003</v>
      </c>
      <c r="F207" s="718" t="s">
        <v>2227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2227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2227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2227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2227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2428</v>
      </c>
      <c r="B212" s="718" t="s">
        <v>2429</v>
      </c>
      <c r="C212" s="720">
        <v>-314495.12</v>
      </c>
      <c r="D212" s="720">
        <v>-3242.47</v>
      </c>
      <c r="E212" s="720">
        <v>-317737.59000000003</v>
      </c>
      <c r="F212" s="718" t="s">
        <v>2227</v>
      </c>
      <c r="G212" s="718" t="s">
        <v>2429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2334</v>
      </c>
      <c r="B213" s="718" t="s">
        <v>2335</v>
      </c>
      <c r="C213" s="720">
        <v>-19252.95</v>
      </c>
      <c r="D213" s="720">
        <v>-79924.44</v>
      </c>
      <c r="E213" s="720">
        <v>-99177.39</v>
      </c>
      <c r="F213" s="718" t="s">
        <v>2227</v>
      </c>
      <c r="G213" s="718" t="s">
        <v>2335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2227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2227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2227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2227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2227</v>
      </c>
      <c r="G218" s="718" t="s">
        <v>2250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2304</v>
      </c>
      <c r="B219" s="718" t="s">
        <v>2305</v>
      </c>
      <c r="C219" s="720">
        <v>-149005</v>
      </c>
      <c r="D219" s="720">
        <v>0</v>
      </c>
      <c r="E219" s="720">
        <v>-149005</v>
      </c>
      <c r="F219" s="718" t="s">
        <v>2227</v>
      </c>
      <c r="G219" s="718" t="s">
        <v>2250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2227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2306</v>
      </c>
      <c r="B221" s="718" t="s">
        <v>2307</v>
      </c>
      <c r="C221" s="720">
        <v>-74316.3</v>
      </c>
      <c r="D221" s="720">
        <v>4710.8</v>
      </c>
      <c r="E221" s="720">
        <v>-69605.5</v>
      </c>
      <c r="F221" s="718" t="s">
        <v>2227</v>
      </c>
      <c r="G221" s="718" t="s">
        <v>2307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2227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2227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2227</v>
      </c>
      <c r="G224" s="718" t="s">
        <v>2248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2227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2227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2227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2227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2227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2227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2227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2228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2228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2386</v>
      </c>
      <c r="B234" s="718" t="s">
        <v>2387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2387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2341</v>
      </c>
      <c r="B235" s="718" t="s">
        <v>2342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2342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2407</v>
      </c>
      <c r="B236" s="718" t="s">
        <v>2408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2408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2343</v>
      </c>
      <c r="B237" s="718" t="s">
        <v>2344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2344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2345</v>
      </c>
      <c r="B238" s="718" t="s">
        <v>2346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2346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2362</v>
      </c>
      <c r="B242" s="671" t="s">
        <v>2363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2363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2379</v>
      </c>
      <c r="B246" s="671" t="s">
        <v>2380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2380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2364</v>
      </c>
      <c r="B249" s="718" t="s">
        <v>2365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2485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2461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2388</v>
      </c>
      <c r="B259" s="718" t="s">
        <v>2389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2389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2432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2467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2462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2360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2366</v>
      </c>
      <c r="B303" s="718" t="s">
        <v>2361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2361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2361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2401</v>
      </c>
      <c r="B309" s="718" t="s">
        <v>2402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2190</v>
      </c>
      <c r="B312" s="718" t="s">
        <v>2191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2417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2174</v>
      </c>
      <c r="B325" s="671" t="s">
        <v>2175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2176</v>
      </c>
      <c r="B326" s="718" t="s">
        <v>2177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2237</v>
      </c>
      <c r="B327" s="718" t="s">
        <v>2236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2422</v>
      </c>
      <c r="B335" s="671" t="s">
        <v>2423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2390</v>
      </c>
      <c r="B354" s="671" t="s">
        <v>2391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2387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2347</v>
      </c>
      <c r="B355" s="718" t="s">
        <v>2348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2342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2409</v>
      </c>
      <c r="B356" s="718" t="s">
        <v>2410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2408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2344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2346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2367</v>
      </c>
      <c r="B362" s="718" t="s">
        <v>2368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2363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2381</v>
      </c>
      <c r="B366" s="718" t="s">
        <v>2382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2380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2369</v>
      </c>
      <c r="B369" s="671" t="s">
        <v>2370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2365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2252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2461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2392</v>
      </c>
      <c r="B380" s="718" t="s">
        <v>2393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2389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2433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2467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2463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2360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2371</v>
      </c>
      <c r="B426" s="718" t="s">
        <v>2372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2403</v>
      </c>
      <c r="B431" s="718" t="s">
        <v>2404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2192</v>
      </c>
      <c r="B434" s="718" t="s">
        <v>2193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2178</v>
      </c>
      <c r="B447" s="718" t="s">
        <v>2179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2180</v>
      </c>
      <c r="B448" s="718" t="s">
        <v>2181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2241</v>
      </c>
      <c r="B449" s="718" t="s">
        <v>2240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2254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2254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2424</v>
      </c>
      <c r="B459" s="718" t="s">
        <v>2425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2224</v>
      </c>
      <c r="B472" s="718" t="s">
        <v>2225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2225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2253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2229</v>
      </c>
      <c r="G480" s="718" t="s">
        <v>2298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2229</v>
      </c>
      <c r="G481" s="718" t="s">
        <v>2298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2229</v>
      </c>
      <c r="G482" s="718" t="s">
        <v>2297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2229</v>
      </c>
      <c r="G483" s="718" t="s">
        <v>2297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2229</v>
      </c>
      <c r="G484" s="718" t="s">
        <v>2292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2229</v>
      </c>
      <c r="G485" s="718" t="s">
        <v>2292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2229</v>
      </c>
      <c r="G486" s="718" t="s">
        <v>2294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2229</v>
      </c>
      <c r="G487" s="718" t="s">
        <v>2294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2229</v>
      </c>
      <c r="G488" s="718" t="s">
        <v>2268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2229</v>
      </c>
      <c r="G489" s="718" t="s">
        <v>2268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2229</v>
      </c>
      <c r="G490" s="718" t="s">
        <v>2268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2229</v>
      </c>
      <c r="G491" s="718" t="s">
        <v>2268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2229</v>
      </c>
      <c r="G492" s="718" t="s">
        <v>2268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2229</v>
      </c>
      <c r="G493" s="718" t="s">
        <v>2257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2229</v>
      </c>
      <c r="G494" s="718" t="s">
        <v>2291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2229</v>
      </c>
      <c r="G495" s="718" t="s">
        <v>2291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2229</v>
      </c>
      <c r="G496" s="718" t="s">
        <v>2256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2229</v>
      </c>
      <c r="G497" s="718" t="s">
        <v>2256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2229</v>
      </c>
      <c r="G498" s="718" t="s">
        <v>2289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2229</v>
      </c>
      <c r="G499" s="718" t="s">
        <v>2289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2229</v>
      </c>
      <c r="G500" s="718" t="s">
        <v>2289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2229</v>
      </c>
      <c r="G501" s="718" t="s">
        <v>2289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2229</v>
      </c>
      <c r="G502" s="718" t="s">
        <v>2289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2229</v>
      </c>
      <c r="G503" s="718" t="s">
        <v>2288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2229</v>
      </c>
      <c r="G504" s="718" t="s">
        <v>2288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2229</v>
      </c>
      <c r="G505" s="718" t="s">
        <v>2288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2229</v>
      </c>
      <c r="G506" s="718" t="s">
        <v>2288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2229</v>
      </c>
      <c r="G507" s="718" t="s">
        <v>2288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2229</v>
      </c>
      <c r="G508" s="718" t="s">
        <v>2287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2229</v>
      </c>
      <c r="G509" s="718" t="s">
        <v>2287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2229</v>
      </c>
      <c r="G510" s="718" t="s">
        <v>2287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2229</v>
      </c>
      <c r="G511" s="718" t="s">
        <v>2287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2229</v>
      </c>
      <c r="G512" s="718" t="s">
        <v>2287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2229</v>
      </c>
      <c r="G513" s="718" t="s">
        <v>2269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2229</v>
      </c>
      <c r="G514" s="718" t="s">
        <v>2269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2229</v>
      </c>
      <c r="G515" s="718" t="s">
        <v>2269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2229</v>
      </c>
      <c r="G516" s="718" t="s">
        <v>2269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2229</v>
      </c>
      <c r="G517" s="718" t="s">
        <v>2269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2229</v>
      </c>
      <c r="G518" s="718" t="s">
        <v>2277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2229</v>
      </c>
      <c r="G519" s="718" t="s">
        <v>2277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2229</v>
      </c>
      <c r="G520" s="718" t="s">
        <v>2277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2229</v>
      </c>
      <c r="G521" s="718" t="s">
        <v>2277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2229</v>
      </c>
      <c r="G522" s="718" t="s">
        <v>2277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2229</v>
      </c>
      <c r="G523" s="718" t="s">
        <v>2280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2229</v>
      </c>
      <c r="G524" s="718" t="s">
        <v>2280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2229</v>
      </c>
      <c r="G525" s="718" t="s">
        <v>2280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2229</v>
      </c>
      <c r="G526" s="718" t="s">
        <v>2280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2229</v>
      </c>
      <c r="G527" s="718" t="s">
        <v>2280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2229</v>
      </c>
      <c r="G528" s="718" t="s">
        <v>2295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2229</v>
      </c>
      <c r="G529" s="718" t="s">
        <v>2274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2229</v>
      </c>
      <c r="G530" s="718" t="s">
        <v>2274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2229</v>
      </c>
      <c r="G531" s="718" t="s">
        <v>2274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2229</v>
      </c>
      <c r="G532" s="718" t="s">
        <v>2274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2229</v>
      </c>
      <c r="G533" s="718" t="s">
        <v>2274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2229</v>
      </c>
      <c r="G534" s="718" t="s">
        <v>2265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2229</v>
      </c>
      <c r="G535" s="718" t="s">
        <v>2265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2229</v>
      </c>
      <c r="G536" s="718" t="s">
        <v>2265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2229</v>
      </c>
      <c r="G537" s="718" t="s">
        <v>2265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2229</v>
      </c>
      <c r="G538" s="718" t="s">
        <v>2265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2229</v>
      </c>
      <c r="G539" s="718" t="s">
        <v>2262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2229</v>
      </c>
      <c r="G540" s="718" t="s">
        <v>2262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2229</v>
      </c>
      <c r="G541" s="718" t="s">
        <v>2296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2229</v>
      </c>
      <c r="G542" s="718" t="s">
        <v>2296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2229</v>
      </c>
      <c r="G543" s="718" t="s">
        <v>2279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2229</v>
      </c>
      <c r="G544" s="718" t="s">
        <v>2279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2229</v>
      </c>
      <c r="G545" s="718" t="s">
        <v>2279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2229</v>
      </c>
      <c r="G546" s="718" t="s">
        <v>2279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2229</v>
      </c>
      <c r="G547" s="718" t="s">
        <v>2279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2229</v>
      </c>
      <c r="G548" s="718" t="s">
        <v>2255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2229</v>
      </c>
      <c r="G549" s="718" t="s">
        <v>2255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2437</v>
      </c>
      <c r="B550" s="718" t="s">
        <v>2438</v>
      </c>
      <c r="C550" s="719">
        <v>0</v>
      </c>
      <c r="D550" s="719">
        <v>-65.23</v>
      </c>
      <c r="E550" s="719">
        <v>-65.23</v>
      </c>
      <c r="F550" s="718" t="s">
        <v>2229</v>
      </c>
      <c r="G550" s="718" t="s">
        <v>2512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2439</v>
      </c>
      <c r="B551" s="718" t="s">
        <v>2440</v>
      </c>
      <c r="C551" s="719">
        <v>0</v>
      </c>
      <c r="D551" s="719">
        <v>-65.22</v>
      </c>
      <c r="E551" s="719">
        <v>-65.22</v>
      </c>
      <c r="F551" s="718" t="s">
        <v>2229</v>
      </c>
      <c r="G551" s="718" t="s">
        <v>2512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2229</v>
      </c>
      <c r="G552" s="718" t="s">
        <v>2270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2229</v>
      </c>
      <c r="G553" s="718" t="s">
        <v>2270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2229</v>
      </c>
      <c r="G554" s="718" t="s">
        <v>2270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2229</v>
      </c>
      <c r="G555" s="718" t="s">
        <v>2270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2229</v>
      </c>
      <c r="G556" s="718" t="s">
        <v>2270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2229</v>
      </c>
      <c r="G557" s="718" t="s">
        <v>2259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2229</v>
      </c>
      <c r="G558" s="718" t="s">
        <v>2259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2229</v>
      </c>
      <c r="G559" s="718" t="s">
        <v>2259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2229</v>
      </c>
      <c r="G560" s="718" t="s">
        <v>2259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2229</v>
      </c>
      <c r="G561" s="718" t="s">
        <v>2259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2229</v>
      </c>
      <c r="G562" s="718" t="s">
        <v>2266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2229</v>
      </c>
      <c r="G563" s="718" t="s">
        <v>2266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2229</v>
      </c>
      <c r="G564" s="718" t="s">
        <v>2266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2229</v>
      </c>
      <c r="G565" s="718" t="s">
        <v>2258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2229</v>
      </c>
      <c r="G566" s="718" t="s">
        <v>2258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2229</v>
      </c>
      <c r="G567" s="718" t="s">
        <v>2258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2229</v>
      </c>
      <c r="G568" s="718" t="s">
        <v>2258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2229</v>
      </c>
      <c r="G569" s="718" t="s">
        <v>2258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2229</v>
      </c>
      <c r="G570" s="718" t="s">
        <v>2285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2229</v>
      </c>
      <c r="G571" s="718" t="s">
        <v>2285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2229</v>
      </c>
      <c r="G572" s="718" t="s">
        <v>2285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2229</v>
      </c>
      <c r="G573" s="718" t="s">
        <v>2285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2229</v>
      </c>
      <c r="G574" s="718" t="s">
        <v>2285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2229</v>
      </c>
      <c r="G575" s="718" t="s">
        <v>2282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2229</v>
      </c>
      <c r="G576" s="718" t="s">
        <v>2282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2229</v>
      </c>
      <c r="G577" s="718" t="s">
        <v>2282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2229</v>
      </c>
      <c r="G578" s="718" t="s">
        <v>2282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2229</v>
      </c>
      <c r="G579" s="718" t="s">
        <v>2282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2229</v>
      </c>
      <c r="G580" s="718" t="s">
        <v>2267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2229</v>
      </c>
      <c r="G581" s="718" t="s">
        <v>2267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2229</v>
      </c>
      <c r="G582" s="718" t="s">
        <v>2267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2229</v>
      </c>
      <c r="G583" s="718" t="s">
        <v>2267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2229</v>
      </c>
      <c r="G584" s="718" t="s">
        <v>2267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2229</v>
      </c>
      <c r="G585" s="718" t="s">
        <v>2264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2229</v>
      </c>
      <c r="G586" s="718" t="s">
        <v>2264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2229</v>
      </c>
      <c r="G587" s="718" t="s">
        <v>2264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2229</v>
      </c>
      <c r="G588" s="718" t="s">
        <v>2264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2229</v>
      </c>
      <c r="G589" s="718" t="s">
        <v>2264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2229</v>
      </c>
      <c r="G590" s="718" t="s">
        <v>2283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2229</v>
      </c>
      <c r="G591" s="718" t="s">
        <v>2283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2229</v>
      </c>
      <c r="G592" s="718" t="s">
        <v>2283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2229</v>
      </c>
      <c r="G593" s="718" t="s">
        <v>2283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2229</v>
      </c>
      <c r="G594" s="718" t="s">
        <v>2283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2229</v>
      </c>
      <c r="G595" s="718" t="s">
        <v>2284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2229</v>
      </c>
      <c r="G596" s="718" t="s">
        <v>2284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2229</v>
      </c>
      <c r="G597" s="718" t="s">
        <v>2284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2229</v>
      </c>
      <c r="G598" s="718" t="s">
        <v>2284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2229</v>
      </c>
      <c r="G599" s="718" t="s">
        <v>2284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2229</v>
      </c>
      <c r="G600" s="718" t="s">
        <v>2260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2229</v>
      </c>
      <c r="G601" s="718" t="s">
        <v>2260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2229</v>
      </c>
      <c r="G602" s="718" t="s">
        <v>2260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2229</v>
      </c>
      <c r="G603" s="718" t="s">
        <v>2260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2229</v>
      </c>
      <c r="G604" s="718" t="s">
        <v>2260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2229</v>
      </c>
      <c r="G605" s="718" t="s">
        <v>2271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2229</v>
      </c>
      <c r="G606" s="718" t="s">
        <v>2271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2229</v>
      </c>
      <c r="G607" s="718" t="s">
        <v>2271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2229</v>
      </c>
      <c r="G608" s="718" t="s">
        <v>2271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2229</v>
      </c>
      <c r="G609" s="718" t="s">
        <v>2271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2229</v>
      </c>
      <c r="G610" s="671" t="s">
        <v>2272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2229</v>
      </c>
      <c r="G611" s="671" t="s">
        <v>2272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2229</v>
      </c>
      <c r="G612" s="671" t="s">
        <v>2272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2229</v>
      </c>
      <c r="G613" s="671" t="s">
        <v>2272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2229</v>
      </c>
      <c r="G614" s="671" t="s">
        <v>2272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2229</v>
      </c>
      <c r="G615" s="671" t="s">
        <v>2263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2229</v>
      </c>
      <c r="G616" s="671" t="s">
        <v>2263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2229</v>
      </c>
      <c r="G617" s="671" t="s">
        <v>2263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2229</v>
      </c>
      <c r="G618" s="671" t="s">
        <v>2263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2229</v>
      </c>
      <c r="G619" s="671" t="s">
        <v>2263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2229</v>
      </c>
      <c r="G620" s="671" t="s">
        <v>2293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2229</v>
      </c>
      <c r="G621" s="671" t="s">
        <v>2293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2229</v>
      </c>
      <c r="G622" s="671" t="s">
        <v>2293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2229</v>
      </c>
      <c r="G623" s="671" t="s">
        <v>2293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2229</v>
      </c>
      <c r="G624" s="671" t="s">
        <v>2293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2229</v>
      </c>
      <c r="G625" s="671" t="s">
        <v>2286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2229</v>
      </c>
      <c r="G626" s="671" t="s">
        <v>2286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2229</v>
      </c>
      <c r="G627" s="671" t="s">
        <v>2286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2229</v>
      </c>
      <c r="G628" s="671" t="s">
        <v>2286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2229</v>
      </c>
      <c r="G629" s="671" t="s">
        <v>2286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2229</v>
      </c>
      <c r="G630" s="671" t="s">
        <v>2281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2229</v>
      </c>
      <c r="G631" s="671" t="s">
        <v>2281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2229</v>
      </c>
      <c r="G632" s="671" t="s">
        <v>2281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2229</v>
      </c>
      <c r="G633" s="671" t="s">
        <v>2281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2229</v>
      </c>
      <c r="G634" s="671" t="s">
        <v>2281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2229</v>
      </c>
      <c r="G635" s="671" t="s">
        <v>2276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2229</v>
      </c>
      <c r="G636" s="671" t="s">
        <v>2276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2229</v>
      </c>
      <c r="G637" s="671" t="s">
        <v>2276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2229</v>
      </c>
      <c r="G638" s="671" t="s">
        <v>2276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2229</v>
      </c>
      <c r="G639" s="671" t="s">
        <v>2276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2229</v>
      </c>
      <c r="G640" s="671" t="s">
        <v>2275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2229</v>
      </c>
      <c r="G641" s="671" t="s">
        <v>2275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2229</v>
      </c>
      <c r="G642" s="671" t="s">
        <v>2275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2229</v>
      </c>
      <c r="G643" s="671" t="s">
        <v>2275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2229</v>
      </c>
      <c r="G644" s="671" t="s">
        <v>2275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2229</v>
      </c>
      <c r="G645" s="671" t="s">
        <v>2273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2229</v>
      </c>
      <c r="G646" s="671" t="s">
        <v>2273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2229</v>
      </c>
      <c r="G647" s="671" t="s">
        <v>2273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2229</v>
      </c>
      <c r="G648" s="671" t="s">
        <v>2273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2229</v>
      </c>
      <c r="G649" s="671" t="s">
        <v>2273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2229</v>
      </c>
      <c r="G650" s="671" t="s">
        <v>2290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2229</v>
      </c>
      <c r="G651" s="671" t="s">
        <v>2278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2229</v>
      </c>
      <c r="G652" s="671" t="s">
        <v>2278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2229</v>
      </c>
      <c r="G653" s="671" t="s">
        <v>2278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2229</v>
      </c>
      <c r="G654" s="671" t="s">
        <v>2278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2229</v>
      </c>
      <c r="G655" s="671" t="s">
        <v>2278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2229</v>
      </c>
      <c r="G656" s="671" t="s">
        <v>2261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2229</v>
      </c>
      <c r="G657" s="671" t="s">
        <v>2261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2229</v>
      </c>
      <c r="G658" s="671" t="s">
        <v>2261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2229</v>
      </c>
      <c r="G659" s="671" t="s">
        <v>2261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2229</v>
      </c>
      <c r="G660" s="671" t="s">
        <v>2261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2428</v>
      </c>
      <c r="B661" s="671" t="s">
        <v>2430</v>
      </c>
      <c r="C661" s="672">
        <v>314495.12</v>
      </c>
      <c r="D661" s="672">
        <v>3242.47</v>
      </c>
      <c r="E661" s="672">
        <v>317737.59000000003</v>
      </c>
      <c r="F661" s="671" t="s">
        <v>2229</v>
      </c>
      <c r="G661" s="671" t="s">
        <v>2430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2230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2230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2230</v>
      </c>
      <c r="G664" s="671" t="s">
        <v>2300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2230</v>
      </c>
      <c r="G665" s="671" t="s">
        <v>2300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2230</v>
      </c>
      <c r="G666" s="671" t="s">
        <v>2299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2230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2230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2301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2301</v>
      </c>
      <c r="G670" s="671" t="s">
        <v>2283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2301</v>
      </c>
      <c r="G671" s="671" t="s">
        <v>2283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2301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2396</v>
      </c>
      <c r="B679" s="671" t="s">
        <v>2397</v>
      </c>
      <c r="C679" s="672"/>
      <c r="D679" s="672"/>
      <c r="E679" s="672"/>
      <c r="F679" s="671" t="s">
        <v>4</v>
      </c>
      <c r="G679" s="671" t="s">
        <v>2387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2353</v>
      </c>
      <c r="B680" s="671" t="s">
        <v>2354</v>
      </c>
      <c r="C680" s="672"/>
      <c r="D680" s="672"/>
      <c r="E680" s="672"/>
      <c r="F680" s="671" t="s">
        <v>4</v>
      </c>
      <c r="G680" s="671" t="s">
        <v>2342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2411</v>
      </c>
      <c r="B681" s="671" t="s">
        <v>2412</v>
      </c>
      <c r="C681" s="672"/>
      <c r="D681" s="672"/>
      <c r="E681" s="672"/>
      <c r="F681" s="671" t="s">
        <v>4</v>
      </c>
      <c r="G681" s="671" t="s">
        <v>2408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2355</v>
      </c>
      <c r="B682" s="671" t="s">
        <v>2356</v>
      </c>
      <c r="C682" s="672"/>
      <c r="D682" s="672"/>
      <c r="E682" s="672"/>
      <c r="F682" s="671" t="s">
        <v>4</v>
      </c>
      <c r="G682" s="671" t="s">
        <v>2344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2357</v>
      </c>
      <c r="B683" s="671" t="s">
        <v>2358</v>
      </c>
      <c r="C683" s="672"/>
      <c r="D683" s="672"/>
      <c r="E683" s="672"/>
      <c r="F683" s="671" t="s">
        <v>4</v>
      </c>
      <c r="G683" s="671" t="s">
        <v>2346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2373</v>
      </c>
      <c r="B687" s="671" t="s">
        <v>2374</v>
      </c>
      <c r="C687" s="672"/>
      <c r="D687" s="672"/>
      <c r="E687" s="672"/>
      <c r="F687" s="671" t="s">
        <v>4</v>
      </c>
      <c r="G687" s="671" t="s">
        <v>2481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2383</v>
      </c>
      <c r="B691" s="671" t="s">
        <v>2384</v>
      </c>
      <c r="C691" s="672"/>
      <c r="D691" s="672"/>
      <c r="E691" s="672"/>
      <c r="F691" s="671" t="s">
        <v>4</v>
      </c>
      <c r="G691" s="671" t="s">
        <v>2380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2375</v>
      </c>
      <c r="B694" s="671" t="s">
        <v>2376</v>
      </c>
      <c r="C694" s="672"/>
      <c r="D694" s="672"/>
      <c r="E694" s="672"/>
      <c r="F694" s="671" t="s">
        <v>4</v>
      </c>
      <c r="G694" s="671" t="s">
        <v>2485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2461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2398</v>
      </c>
      <c r="B704" s="671" t="s">
        <v>2399</v>
      </c>
      <c r="C704" s="672"/>
      <c r="D704" s="672"/>
      <c r="E704" s="672"/>
      <c r="F704" s="671" t="s">
        <v>4</v>
      </c>
      <c r="G704" s="671" t="s">
        <v>2389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2434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2467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2464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2377</v>
      </c>
      <c r="B748" s="671" t="s">
        <v>2378</v>
      </c>
      <c r="C748" s="672"/>
      <c r="D748" s="672"/>
      <c r="E748" s="672"/>
      <c r="F748" s="671" t="s">
        <v>4</v>
      </c>
      <c r="G748" s="671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2182</v>
      </c>
      <c r="B749" s="671" t="s">
        <v>2183</v>
      </c>
      <c r="C749" s="672"/>
      <c r="D749" s="672"/>
      <c r="E749" s="672"/>
      <c r="F749" s="671" t="s">
        <v>4</v>
      </c>
      <c r="G749" s="671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2435</v>
      </c>
      <c r="B753" s="671" t="s">
        <v>2436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2405</v>
      </c>
      <c r="B754" s="671" t="s">
        <v>2406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2194</v>
      </c>
      <c r="B757" s="671" t="s">
        <v>2195</v>
      </c>
      <c r="C757" s="672"/>
      <c r="D757" s="672"/>
      <c r="E757" s="672"/>
      <c r="F757" s="671" t="s">
        <v>4</v>
      </c>
      <c r="G757" s="671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2184</v>
      </c>
      <c r="B770" s="664" t="s">
        <v>2185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2186</v>
      </c>
      <c r="B771" s="664" t="s">
        <v>2187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2245</v>
      </c>
      <c r="B772" s="664" t="s">
        <v>2244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2426</v>
      </c>
      <c r="B780" s="664" t="s">
        <v>2427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0" activePane="bottomLeft" state="frozen"/>
      <selection pane="bottomLeft" activeCell="D1059" sqref="D1059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e">
        <f>+VLOOKUP(Table_1[[#This Row],[Account]],BV_Data_An_Cour!$L:$Q,6,0)</f>
        <v>#N/A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str">
        <f>+VLOOKUP(Table_1[[#This Row],[Account]],BV_Data_An_Cour!$L:$Q,6,0)</f>
        <v>5-Ventes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2812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e">
        <f>+VLOOKUP(Table_1[[#This Row],[Account]],BV_Data_An_Cour!$L:$Q,6,0)</f>
        <v>#N/A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e">
        <f>+VLOOKUP(Table_1[[#This Row],[Account]],BV_Data_An_Cour!$L:$Q,6,0)</f>
        <v>#N/A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str">
        <f>+VLOOKUP(Table_1[[#This Row],[Account]],BV_Data_An_Cour!$L:$Q,6,0)</f>
        <v>6-Coût des ventes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2812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2812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e">
        <f>+VLOOKUP(Table_1[[#This Row],[Account]],BV_Data_An_Cour!$L:$Q,6,0)</f>
        <v>#N/A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e">
        <f>+VLOOKUP(Table_1[[#This Row],[Account]],BV_Data_An_Cour!$L:$Q,6,0)</f>
        <v>#N/A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2418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e">
        <f>+VLOOKUP(Table_1[[#This Row],[Account]],BV_Data_An_Cour!$L:$Q,6,0)</f>
        <v>#N/A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e">
        <f>+VLOOKUP(Table_1[[#This Row],[Account]],BV_Data_An_Cour!$L:$Q,6,0)</f>
        <v>#N/A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e">
        <f>+VLOOKUP(Table_1[[#This Row],[Account]],BV_Data_An_Cour!$L:$Q,6,0)</f>
        <v>#N/A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e">
        <f>+VLOOKUP(Table_1[[#This Row],[Account]],BV_Data_An_Cour!$L:$Q,6,0)</f>
        <v>#N/A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e">
        <f>+VLOOKUP(Table_1[[#This Row],[Account]],BV_Data_An_Cour!$L:$Q,6,0)</f>
        <v>#N/A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e">
        <f>+VLOOKUP(Table_1[[#This Row],[Account]],BV_Data_An_Cour!$L:$Q,6,0)</f>
        <v>#N/A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e">
        <f>+VLOOKUP(Table_1[[#This Row],[Account]],BV_Data_An_Cour!$L:$Q,6,0)</f>
        <v>#N/A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e">
        <f>+VLOOKUP(Table_1[[#This Row],[Account]],BV_Data_An_Cour!$L:$Q,6,0)</f>
        <v>#N/A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str">
        <f>+VLOOKUP(Table_1[[#This Row],[Account]],BV_Data_An_Cour!$L:$Q,6,0)</f>
        <v>2-Actifs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e">
        <f>+VLOOKUP(Table_1[[#This Row],[Account]],BV_Data_An_Cour!$L:$Q,6,0)</f>
        <v>#N/A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e">
        <f>+VLOOKUP(Table_1[[#This Row],[Account]],BV_Data_An_Cour!$L:$Q,6,0)</f>
        <v>#N/A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str">
        <f>+VLOOKUP(Table_1[[#This Row],[Account]],BV_Data_An_Cour!$L:$Q,6,0)</f>
        <v>3-Passifs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str">
        <f>+VLOOKUP(Table_1[[#This Row],[Account]],BV_Data_An_Cour!$L:$Q,6,0)</f>
        <v>10-Compte compteur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e">
        <f>+VLOOKUP(Table_1[[#This Row],[Account]],BV_Data_An_Cour!$L:$Q,6,0)</f>
        <v>#N/A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e">
        <f>+VLOOKUP(Table_1[[#This Row],[Account]],BV_Data_An_Cour!$L:$Q,6,0)</f>
        <v>#N/A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e">
        <f>+VLOOKUP(Table_1[[#This Row],[Account]],BV_Data_An_Cour!$L:$Q,6,0)</f>
        <v>#N/A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e">
        <f>+VLOOKUP(Table_1[[#This Row],[Account]],BV_Data_An_Cour!$L:$Q,6,0)</f>
        <v>#N/A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e">
        <f>+VLOOKUP(Table_1[[#This Row],[Account]],BV_Data_An_Cour!$L:$Q,6,0)</f>
        <v>#N/A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e">
        <f>+VLOOKUP(Table_1[[#This Row],[Account]],BV_Data_An_Cour!$L:$Q,6,0)</f>
        <v>#N/A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e">
        <f>+VLOOKUP(Table_1[[#This Row],[Account]],BV_Data_An_Cour!$L:$Q,6,0)</f>
        <v>#N/A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str">
        <f>+VLOOKUP(Table_1[[#This Row],[Account]],BV_Data_An_Cour!$L:$Q,6,0)</f>
        <v>10-Compte compteur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str">
        <f>+VLOOKUP(Table_1[[#This Row],[Account]],BV_Data_An_Cour!$L:$Q,6,0)</f>
        <v>10-Compte compteur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2812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e">
        <f>+VLOOKUP(Table_1[[#This Row],[Account]],BV_Data_An_Cour!$L:$Q,6,0)</f>
        <v>#N/A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e">
        <f>+VLOOKUP(Table_1[[#This Row],[Account]],BV_Data_An_Cour!$L:$Q,6,0)</f>
        <v>#N/A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e">
        <f>+VLOOKUP(Table_1[[#This Row],[Account]],BV_Data_An_Cour!$L:$Q,6,0)</f>
        <v>#N/A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e">
        <f>+VLOOKUP(Table_1[[#This Row],[Account]],BV_Data_An_Cour!$L:$Q,6,0)</f>
        <v>#N/A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e">
        <f>+VLOOKUP(Table_1[[#This Row],[Account]],BV_Data_An_Cour!$L:$Q,6,0)</f>
        <v>#N/A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e">
        <f>+VLOOKUP(Table_1[[#This Row],[Account]],BV_Data_An_Cour!$L:$Q,6,0)</f>
        <v>#N/A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e">
        <f>+VLOOKUP(Table_1[[#This Row],[Account]],BV_Data_An_Cour!$L:$Q,6,0)</f>
        <v>#N/A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e">
        <f>+VLOOKUP(Table_1[[#This Row],[Account]],BV_Data_An_Cour!$L:$Q,6,0)</f>
        <v>#N/A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e">
        <f>+VLOOKUP(Table_1[[#This Row],[Account]],BV_Data_An_Cour!$L:$Q,6,0)</f>
        <v>#N/A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e">
        <f>+VLOOKUP(Table_1[[#This Row],[Account]],BV_Data_An_Cour!$L:$Q,6,0)</f>
        <v>#N/A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e">
        <f>+VLOOKUP(Table_1[[#This Row],[Account]],BV_Data_An_Cour!$L:$Q,6,0)</f>
        <v>#N/A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e">
        <f>+VLOOKUP(Table_1[[#This Row],[Account]],BV_Data_An_Cour!$L:$Q,6,0)</f>
        <v>#N/A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e">
        <f>+VLOOKUP(Table_1[[#This Row],[Account]],BV_Data_An_Cour!$L:$Q,6,0)</f>
        <v>#N/A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e">
        <f>+VLOOKUP(Table_1[[#This Row],[Account]],BV_Data_An_Cour!$L:$Q,6,0)</f>
        <v>#N/A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e">
        <f>+VLOOKUP(Table_1[[#This Row],[Account]],BV_Data_An_Cour!$L:$Q,6,0)</f>
        <v>#N/A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e">
        <f>+VLOOKUP(Table_1[[#This Row],[Account]],BV_Data_An_Cour!$L:$Q,6,0)</f>
        <v>#N/A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e">
        <f>+VLOOKUP(Table_1[[#This Row],[Account]],BV_Data_An_Cour!$L:$Q,6,0)</f>
        <v>#N/A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e">
        <f>+VLOOKUP(Table_1[[#This Row],[Account]],BV_Data_An_Cour!$L:$Q,6,0)</f>
        <v>#N/A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e">
        <f>+VLOOKUP(Table_1[[#This Row],[Account]],BV_Data_An_Cour!$L:$Q,6,0)</f>
        <v>#N/A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e">
        <f>+VLOOKUP(Table_1[[#This Row],[Account]],BV_Data_An_Cour!$L:$Q,6,0)</f>
        <v>#N/A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e">
        <f>+VLOOKUP(Table_1[[#This Row],[Account]],BV_Data_An_Cour!$L:$Q,6,0)</f>
        <v>#N/A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e">
        <f>+VLOOKUP(Table_1[[#This Row],[Account]],BV_Data_An_Cour!$L:$Q,6,0)</f>
        <v>#N/A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e">
        <f>+VLOOKUP(Table_1[[#This Row],[Account]],BV_Data_An_Cour!$L:$Q,6,0)</f>
        <v>#N/A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e">
        <f>+VLOOKUP(Table_1[[#This Row],[Account]],BV_Data_An_Cour!$L:$Q,6,0)</f>
        <v>#N/A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e">
        <f>+VLOOKUP(Table_1[[#This Row],[Account]],BV_Data_An_Cour!$L:$Q,6,0)</f>
        <v>#N/A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e">
        <f>+VLOOKUP(Table_1[[#This Row],[Account]],BV_Data_An_Cour!$L:$Q,6,0)</f>
        <v>#N/A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e">
        <f>+VLOOKUP(Table_1[[#This Row],[Account]],BV_Data_An_Cour!$L:$Q,6,0)</f>
        <v>#N/A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2167</v>
      </c>
      <c r="B876" s="158" t="s">
        <v>2166</v>
      </c>
      <c r="C876" s="159" t="s">
        <v>273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2169</v>
      </c>
      <c r="B877" s="158" t="s">
        <v>2168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2171</v>
      </c>
      <c r="B878" s="158" t="s">
        <v>2170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2173</v>
      </c>
      <c r="B879" s="158" t="s">
        <v>2172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2175</v>
      </c>
      <c r="B880" s="158" t="s">
        <v>2174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2177</v>
      </c>
      <c r="B881" s="158" t="s">
        <v>2176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2179</v>
      </c>
      <c r="B882" s="158" t="s">
        <v>2178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2181</v>
      </c>
      <c r="B883" s="158" t="s">
        <v>2180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2183</v>
      </c>
      <c r="B884" s="158" t="s">
        <v>2182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2185</v>
      </c>
      <c r="B885" s="158" t="s">
        <v>2184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2187</v>
      </c>
      <c r="B886" s="158" t="s">
        <v>2186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2191</v>
      </c>
      <c r="B887" s="176" t="s">
        <v>2190</v>
      </c>
      <c r="C887" s="159" t="s">
        <v>147</v>
      </c>
      <c r="D887" s="159" t="s">
        <v>155</v>
      </c>
      <c r="E887" s="192" t="s">
        <v>285</v>
      </c>
      <c r="F887" s="2" t="s">
        <v>2196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2193</v>
      </c>
      <c r="B888" s="158" t="s">
        <v>2192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2195</v>
      </c>
      <c r="B889" s="158" t="s">
        <v>2194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2198</v>
      </c>
      <c r="B890" s="158" t="s">
        <v>2197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2200</v>
      </c>
      <c r="B891" s="158" t="s">
        <v>2199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2189</v>
      </c>
      <c r="B892" s="158" t="s">
        <v>2188</v>
      </c>
      <c r="C892" s="159" t="s">
        <v>273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2202</v>
      </c>
      <c r="B893" s="158" t="s">
        <v>2201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2204</v>
      </c>
      <c r="B894" s="158" t="s">
        <v>2203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2206</v>
      </c>
      <c r="B895" s="158" t="s">
        <v>2205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2208</v>
      </c>
      <c r="B896" s="158" t="s">
        <v>2207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2210</v>
      </c>
      <c r="B897" s="159" t="s">
        <v>2209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2212</v>
      </c>
      <c r="B898" s="158" t="s">
        <v>2211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2214</v>
      </c>
      <c r="B899" s="158" t="s">
        <v>2213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2225</v>
      </c>
      <c r="B900" s="158" t="s">
        <v>2224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2216</v>
      </c>
      <c r="B901" s="158" t="s">
        <v>2215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2231</v>
      </c>
      <c r="B902" s="158" t="s">
        <v>2217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2232</v>
      </c>
      <c r="B903" s="158" t="s">
        <v>2233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2234</v>
      </c>
      <c r="B904" s="158" t="s">
        <v>2235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2236</v>
      </c>
      <c r="B905" s="158" t="s">
        <v>2237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2238</v>
      </c>
      <c r="B906" s="158" t="s">
        <v>2239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2240</v>
      </c>
      <c r="B907" s="158" t="s">
        <v>2241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2242</v>
      </c>
      <c r="B908" s="158" t="s">
        <v>2243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2244</v>
      </c>
      <c r="B909" s="158" t="s">
        <v>2245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2219</v>
      </c>
      <c r="B910" s="158" t="s">
        <v>2218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2223</v>
      </c>
      <c r="B911" s="158" t="s">
        <v>2222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2221</v>
      </c>
      <c r="B912" s="158" t="s">
        <v>2220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2303</v>
      </c>
      <c r="B913" s="158" t="s">
        <v>2302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2305</v>
      </c>
      <c r="B914" s="158" t="s">
        <v>2304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2307</v>
      </c>
      <c r="B915" s="158" t="s">
        <v>2306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2309</v>
      </c>
      <c r="B916" s="158" t="s">
        <v>2308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2333</v>
      </c>
      <c r="B917" s="158" t="s">
        <v>2332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2335</v>
      </c>
      <c r="B918" s="158" t="s">
        <v>2334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2338</v>
      </c>
      <c r="B919" s="158" t="s">
        <v>2337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2340</v>
      </c>
      <c r="B920" s="158" t="s">
        <v>2339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2342</v>
      </c>
      <c r="B921" s="158" t="s">
        <v>2341</v>
      </c>
      <c r="C921" s="159" t="s">
        <v>75</v>
      </c>
      <c r="D921" s="159" t="s">
        <v>87</v>
      </c>
      <c r="E921" s="192" t="s">
        <v>285</v>
      </c>
      <c r="F921" s="2" t="s">
        <v>2196</v>
      </c>
      <c r="G921" s="500"/>
      <c r="H921" s="160"/>
    </row>
    <row r="922" spans="1:11" ht="15" customHeight="1">
      <c r="A922" s="162" t="s">
        <v>2344</v>
      </c>
      <c r="B922" s="158" t="s">
        <v>2343</v>
      </c>
      <c r="C922" s="159" t="s">
        <v>75</v>
      </c>
      <c r="D922" s="159" t="s">
        <v>86</v>
      </c>
      <c r="E922" s="192" t="s">
        <v>285</v>
      </c>
      <c r="F922" s="2" t="s">
        <v>2196</v>
      </c>
      <c r="G922" s="500"/>
      <c r="H922" s="160"/>
    </row>
    <row r="923" spans="1:11" ht="15" customHeight="1">
      <c r="A923" s="162" t="s">
        <v>2346</v>
      </c>
      <c r="B923" s="158" t="s">
        <v>2345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2348</v>
      </c>
      <c r="B924" s="178" t="s">
        <v>2347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2350</v>
      </c>
      <c r="B925" s="173" t="s">
        <v>2349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2352</v>
      </c>
      <c r="B926" s="173" t="s">
        <v>2351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2354</v>
      </c>
      <c r="B927" s="158" t="s">
        <v>2353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2356</v>
      </c>
      <c r="B928" s="173" t="s">
        <v>2355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2358</v>
      </c>
      <c r="B929" s="173" t="s">
        <v>2357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2363</v>
      </c>
      <c r="B930" s="158" t="s">
        <v>2362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2365</v>
      </c>
      <c r="B931" s="158" t="s">
        <v>2364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2361</v>
      </c>
      <c r="B932" s="158" t="s">
        <v>2366</v>
      </c>
      <c r="C932" s="159" t="s">
        <v>140</v>
      </c>
      <c r="D932" s="159" t="s">
        <v>95</v>
      </c>
      <c r="E932" s="192" t="s">
        <v>285</v>
      </c>
      <c r="F932" s="2" t="s">
        <v>2196</v>
      </c>
      <c r="G932" s="500"/>
      <c r="H932" s="160"/>
    </row>
    <row r="933" spans="1:29" ht="15" customHeight="1">
      <c r="A933" s="162" t="s">
        <v>2368</v>
      </c>
      <c r="B933" s="158" t="s">
        <v>2367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2370</v>
      </c>
      <c r="B934" s="158" t="s">
        <v>2369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2372</v>
      </c>
      <c r="B935" s="158" t="s">
        <v>2371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2374</v>
      </c>
      <c r="B936" s="158" t="s">
        <v>2373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2376</v>
      </c>
      <c r="B937" s="158" t="s">
        <v>2375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2378</v>
      </c>
      <c r="B938" s="158" t="s">
        <v>2377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2380</v>
      </c>
      <c r="B939" s="158" t="s">
        <v>2379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2382</v>
      </c>
      <c r="B940" s="158" t="s">
        <v>2381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2384</v>
      </c>
      <c r="B941" s="178" t="s">
        <v>2383</v>
      </c>
      <c r="C941" s="159" t="s">
        <v>75</v>
      </c>
      <c r="D941" s="159" t="s">
        <v>86</v>
      </c>
      <c r="E941" s="192" t="s">
        <v>2385</v>
      </c>
      <c r="F941" s="160"/>
      <c r="G941" s="500"/>
      <c r="H941" s="160"/>
    </row>
    <row r="942" spans="1:29" ht="15" customHeight="1">
      <c r="A942" s="162" t="s">
        <v>2387</v>
      </c>
      <c r="B942" s="158" t="s">
        <v>2386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2389</v>
      </c>
      <c r="B943" s="158" t="s">
        <v>2388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2391</v>
      </c>
      <c r="B944" s="158" t="s">
        <v>2390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2393</v>
      </c>
      <c r="B945" s="158" t="s">
        <v>2392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2395</v>
      </c>
      <c r="B946" s="158" t="s">
        <v>2394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2397</v>
      </c>
      <c r="B947" s="158" t="s">
        <v>2396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2399</v>
      </c>
      <c r="B948" s="158" t="s">
        <v>2398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2402</v>
      </c>
      <c r="B949" s="158" t="s">
        <v>2401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2404</v>
      </c>
      <c r="B950" s="158" t="s">
        <v>2403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2406</v>
      </c>
      <c r="B951" s="158" t="s">
        <v>2405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2408</v>
      </c>
      <c r="B952" s="158" t="s">
        <v>2407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2410</v>
      </c>
      <c r="B953" s="158" t="s">
        <v>2409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2412</v>
      </c>
      <c r="B954" s="158" t="s">
        <v>2411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2414</v>
      </c>
      <c r="B955" s="158" t="s">
        <v>2413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2416</v>
      </c>
      <c r="B956" s="158" t="s">
        <v>2415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2430</v>
      </c>
      <c r="B957" s="158" t="s">
        <v>2428</v>
      </c>
      <c r="C957" s="159" t="s">
        <v>185</v>
      </c>
      <c r="D957" s="1040" t="s">
        <v>2418</v>
      </c>
      <c r="E957" s="500"/>
      <c r="F957" s="160"/>
      <c r="G957" s="500"/>
      <c r="H957" s="160"/>
    </row>
    <row r="958" spans="1:15" ht="15" customHeight="1">
      <c r="A958" s="162" t="s">
        <v>2421</v>
      </c>
      <c r="B958" s="158" t="s">
        <v>2420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2423</v>
      </c>
      <c r="B959" s="159" t="s">
        <v>2422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2425</v>
      </c>
      <c r="B960" s="158" t="s">
        <v>2424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2427</v>
      </c>
      <c r="B961" s="158" t="s">
        <v>2426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2429</v>
      </c>
      <c r="B962" s="180" t="s">
        <v>2428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2438</v>
      </c>
      <c r="B963" s="158" t="s">
        <v>2437</v>
      </c>
      <c r="C963" s="159" t="s">
        <v>147</v>
      </c>
      <c r="D963" s="159" t="s">
        <v>120</v>
      </c>
      <c r="E963" s="192" t="s">
        <v>285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2440</v>
      </c>
      <c r="B964" s="158" t="s">
        <v>2439</v>
      </c>
      <c r="C964" s="159" t="s">
        <v>1894</v>
      </c>
      <c r="D964" s="159" t="s">
        <v>120</v>
      </c>
      <c r="E964" s="192" t="s">
        <v>285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2436</v>
      </c>
      <c r="B965" s="158" t="s">
        <v>2435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2442</v>
      </c>
      <c r="B966" s="158" t="s">
        <v>2441</v>
      </c>
      <c r="C966" s="159" t="s">
        <v>272</v>
      </c>
      <c r="D966" s="159" t="s">
        <v>16</v>
      </c>
      <c r="E966" s="500" t="s">
        <v>285</v>
      </c>
      <c r="F966" s="160"/>
      <c r="G966" s="500" t="s">
        <v>2227</v>
      </c>
      <c r="H966" s="160"/>
    </row>
    <row r="967" spans="1:29" ht="15" customHeight="1">
      <c r="A967" s="162" t="s">
        <v>2466</v>
      </c>
      <c r="B967" s="158" t="s">
        <v>2465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2470</v>
      </c>
      <c r="B968" s="158" t="s">
        <v>2469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2472</v>
      </c>
      <c r="B969" s="158" t="s">
        <v>2471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2474</v>
      </c>
      <c r="B970" s="158" t="s">
        <v>2473</v>
      </c>
      <c r="C970" s="159" t="s">
        <v>167</v>
      </c>
      <c r="D970" s="159" t="s">
        <v>170</v>
      </c>
      <c r="E970" s="192" t="s">
        <v>285</v>
      </c>
      <c r="F970" s="2" t="s">
        <v>2196</v>
      </c>
      <c r="G970" s="500"/>
      <c r="H970" s="160"/>
    </row>
    <row r="971" spans="1:29" ht="15" customHeight="1">
      <c r="A971" s="162" t="s">
        <v>2476</v>
      </c>
      <c r="B971" s="158" t="s">
        <v>2475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2478</v>
      </c>
      <c r="B972" s="158" t="s">
        <v>2477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2480</v>
      </c>
      <c r="B973" s="158" t="s">
        <v>2479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2483</v>
      </c>
      <c r="B974" s="158" t="s">
        <v>2482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2487</v>
      </c>
      <c r="B975" s="158" t="s">
        <v>2486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2489</v>
      </c>
      <c r="B976" s="158" t="s">
        <v>2488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2491</v>
      </c>
      <c r="B977" s="158" t="s">
        <v>2490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2493</v>
      </c>
      <c r="B978" s="158" t="s">
        <v>2492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2495</v>
      </c>
      <c r="B979" s="158" t="s">
        <v>2494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2497</v>
      </c>
      <c r="B980" s="158" t="s">
        <v>2496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2499</v>
      </c>
      <c r="B981" s="158" t="s">
        <v>2498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2501</v>
      </c>
      <c r="B982" s="158" t="s">
        <v>2500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2503</v>
      </c>
      <c r="B983" s="158" t="s">
        <v>2502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2505</v>
      </c>
      <c r="B984" s="158" t="s">
        <v>2504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2507</v>
      </c>
      <c r="B985" s="158" t="s">
        <v>2506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2509</v>
      </c>
      <c r="B986" s="158" t="s">
        <v>2508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2511</v>
      </c>
      <c r="B987" s="158" t="s">
        <v>2510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2514</v>
      </c>
      <c r="B988" s="150" t="s">
        <v>2513</v>
      </c>
      <c r="C988" s="159" t="s">
        <v>75</v>
      </c>
      <c r="D988" s="159" t="s">
        <v>1897</v>
      </c>
      <c r="E988" s="192" t="s">
        <v>285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2516</v>
      </c>
      <c r="B989" s="150" t="s">
        <v>2515</v>
      </c>
      <c r="C989" s="159" t="s">
        <v>140</v>
      </c>
      <c r="D989" s="159" t="s">
        <v>1897</v>
      </c>
      <c r="E989" s="192" t="s">
        <v>285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2518</v>
      </c>
      <c r="B990" s="158" t="s">
        <v>2517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2520</v>
      </c>
      <c r="B991" s="158" t="s">
        <v>2519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2522</v>
      </c>
      <c r="B992" s="158" t="s">
        <v>2521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2523</v>
      </c>
      <c r="B993" s="158" t="s">
        <v>2519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2525</v>
      </c>
      <c r="B994" s="158" t="s">
        <v>2524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2526</v>
      </c>
      <c r="B995" s="174" t="s">
        <v>2519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2528</v>
      </c>
      <c r="B996" s="158" t="s">
        <v>2527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2530</v>
      </c>
      <c r="B997" s="158" t="s">
        <v>2529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2532</v>
      </c>
      <c r="B998" s="158" t="s">
        <v>2531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2534</v>
      </c>
      <c r="B999" s="158" t="s">
        <v>2533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2536</v>
      </c>
      <c r="B1000" s="158" t="s">
        <v>2535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2538</v>
      </c>
      <c r="B1001" s="158" t="s">
        <v>2537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2551</v>
      </c>
      <c r="B1002" s="158" t="s">
        <v>2550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2553</v>
      </c>
      <c r="B1003" s="158" t="s">
        <v>2552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2555</v>
      </c>
      <c r="B1004" s="158" t="s">
        <v>2554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2846</v>
      </c>
      <c r="B1005" s="158" t="s">
        <v>2845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2848</v>
      </c>
      <c r="B1006" s="158" t="s">
        <v>2847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2850</v>
      </c>
      <c r="B1007" s="158" t="s">
        <v>2849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2843</v>
      </c>
      <c r="B1008" s="158" t="s">
        <v>2851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2852</v>
      </c>
      <c r="B1009" s="158" t="s">
        <v>2847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2854</v>
      </c>
      <c r="B1010" s="158" t="s">
        <v>2853</v>
      </c>
      <c r="C1010" s="159" t="s">
        <v>273</v>
      </c>
      <c r="D1010" s="159" t="s">
        <v>2815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2844</v>
      </c>
      <c r="B1011" s="158" t="s">
        <v>2855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2857</v>
      </c>
      <c r="B1012" s="158" t="s">
        <v>2856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2858</v>
      </c>
      <c r="B1013" s="158" t="s">
        <v>2847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2866</v>
      </c>
      <c r="B1014" s="158" t="s">
        <v>2865</v>
      </c>
      <c r="C1014" s="159" t="s">
        <v>75</v>
      </c>
      <c r="D1014" s="159" t="s">
        <v>87</v>
      </c>
      <c r="E1014" s="192" t="s">
        <v>285</v>
      </c>
      <c r="F1014" s="2" t="s">
        <v>2196</v>
      </c>
      <c r="G1014" s="500"/>
      <c r="H1014" s="160"/>
    </row>
    <row r="1015" spans="1:8" ht="15" customHeight="1">
      <c r="A1015" s="162" t="s">
        <v>2867</v>
      </c>
      <c r="B1015" s="158" t="s">
        <v>2865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2868</v>
      </c>
      <c r="B1016" s="158" t="s">
        <v>2865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2878</v>
      </c>
      <c r="B1017" s="158" t="s">
        <v>2877</v>
      </c>
      <c r="C1017" s="159" t="s">
        <v>75</v>
      </c>
      <c r="D1017" s="159" t="s">
        <v>87</v>
      </c>
      <c r="E1017" s="500" t="s">
        <v>285</v>
      </c>
      <c r="F1017" s="160" t="s">
        <v>2196</v>
      </c>
      <c r="G1017" s="500"/>
      <c r="H1017" s="160"/>
    </row>
    <row r="1018" spans="1:8" ht="15" customHeight="1">
      <c r="A1018" s="162" t="s">
        <v>2879</v>
      </c>
      <c r="B1018" s="178" t="s">
        <v>2877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2880</v>
      </c>
      <c r="B1019" s="158" t="s">
        <v>2877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2883</v>
      </c>
      <c r="B1020" s="158" t="s">
        <v>2882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2885</v>
      </c>
      <c r="B1021" s="158" t="s">
        <v>2884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2886</v>
      </c>
      <c r="B1022" s="158" t="s">
        <v>2882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2888</v>
      </c>
      <c r="B1023" s="158" t="s">
        <v>2887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2890</v>
      </c>
      <c r="B1024" s="158" t="s">
        <v>2889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2891</v>
      </c>
      <c r="B1025" s="158" t="s">
        <v>2882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2893</v>
      </c>
      <c r="B1026" s="158" t="s">
        <v>2892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2895</v>
      </c>
      <c r="B1027" s="158" t="s">
        <v>2894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2897</v>
      </c>
      <c r="B1028" s="158" t="s">
        <v>2896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2899</v>
      </c>
      <c r="B1029" s="158" t="s">
        <v>2898</v>
      </c>
      <c r="C1029" s="159" t="s">
        <v>147</v>
      </c>
      <c r="D1029" s="159" t="s">
        <v>1897</v>
      </c>
      <c r="E1029" s="192" t="s">
        <v>285</v>
      </c>
      <c r="F1029" s="2"/>
      <c r="G1029" s="192" t="e">
        <f>+VLOOKUP(Table_1[[#This Row],[Account]],BV_Data_An_Cour!$L:$Q,6,0)</f>
        <v>#N/A</v>
      </c>
      <c r="H1029" s="160"/>
    </row>
    <row r="1030" spans="1:29" ht="15" customHeight="1">
      <c r="A1030" s="162" t="s">
        <v>2901</v>
      </c>
      <c r="B1030" s="158" t="s">
        <v>2900</v>
      </c>
      <c r="C1030" s="159" t="s">
        <v>167</v>
      </c>
      <c r="D1030" s="159" t="s">
        <v>1897</v>
      </c>
      <c r="E1030" s="192" t="s">
        <v>285</v>
      </c>
      <c r="F1030" s="2"/>
      <c r="G1030" s="192" t="e">
        <f>+VLOOKUP(Table_1[[#This Row],[Account]],BV_Data_An_Cour!$L:$Q,6,0)</f>
        <v>#N/A</v>
      </c>
      <c r="H1030" s="160"/>
    </row>
    <row r="1031" spans="1:29" ht="15" customHeight="1">
      <c r="A1031" s="162" t="s">
        <v>2903</v>
      </c>
      <c r="B1031" s="158" t="s">
        <v>2902</v>
      </c>
      <c r="C1031" s="159" t="s">
        <v>163</v>
      </c>
      <c r="D1031" s="159" t="s">
        <v>1897</v>
      </c>
      <c r="E1031" s="192" t="s">
        <v>285</v>
      </c>
      <c r="F1031" s="2"/>
      <c r="G1031" s="192" t="e">
        <f>+VLOOKUP(Table_1[[#This Row],[Account]],BV_Data_An_Cour!$L:$Q,6,0)</f>
        <v>#N/A</v>
      </c>
      <c r="H1031" s="160"/>
    </row>
    <row r="1032" spans="1:29" ht="15.75" customHeight="1">
      <c r="A1032" s="162" t="s">
        <v>2906</v>
      </c>
      <c r="B1032" s="158" t="s">
        <v>2905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2908</v>
      </c>
      <c r="B1033" s="158" t="s">
        <v>2907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2910</v>
      </c>
      <c r="B1034" s="158" t="s">
        <v>2909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2912</v>
      </c>
      <c r="B1035" s="158" t="s">
        <v>2911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2914</v>
      </c>
      <c r="B1036" s="158" t="s">
        <v>2913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2916</v>
      </c>
      <c r="B1037" s="158" t="s">
        <v>2915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2918</v>
      </c>
      <c r="B1038" s="158" t="s">
        <v>2917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2920</v>
      </c>
      <c r="B1039" s="158" t="s">
        <v>2919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2922</v>
      </c>
      <c r="B1040" s="158" t="s">
        <v>2921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2924</v>
      </c>
      <c r="B1041" s="158" t="s">
        <v>2923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2927</v>
      </c>
      <c r="B1042" s="158" t="s">
        <v>2926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2929</v>
      </c>
      <c r="B1043" s="158" t="s">
        <v>2928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2931</v>
      </c>
      <c r="B1044" s="158" t="s">
        <v>2930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 t="s">
        <v>2942</v>
      </c>
      <c r="B1045" s="158" t="s">
        <v>2941</v>
      </c>
      <c r="C1045" s="159" t="s">
        <v>272</v>
      </c>
      <c r="D1045" s="159" t="s">
        <v>25</v>
      </c>
      <c r="E1045" s="192" t="s">
        <v>285</v>
      </c>
      <c r="F1045" s="160"/>
      <c r="G1045" s="500"/>
      <c r="H1045" s="160"/>
    </row>
    <row r="1046" spans="1:11" ht="15.75" customHeight="1">
      <c r="A1046" s="162" t="s">
        <v>2944</v>
      </c>
      <c r="B1046" s="158" t="s">
        <v>2943</v>
      </c>
      <c r="C1046" s="159" t="s">
        <v>272</v>
      </c>
      <c r="D1046" s="159" t="s">
        <v>43</v>
      </c>
      <c r="E1046" s="192" t="s">
        <v>285</v>
      </c>
      <c r="F1046" s="160"/>
      <c r="G1046" s="500"/>
      <c r="H1046" s="160"/>
    </row>
    <row r="1047" spans="1:11" ht="15.75" customHeight="1">
      <c r="A1047" s="162" t="s">
        <v>2960</v>
      </c>
      <c r="B1047" s="158" t="s">
        <v>2959</v>
      </c>
      <c r="C1047" s="159" t="s">
        <v>272</v>
      </c>
      <c r="D1047" s="159" t="s">
        <v>8</v>
      </c>
      <c r="E1047" s="192" t="s">
        <v>285</v>
      </c>
      <c r="F1047" s="160"/>
      <c r="G1047" s="500"/>
      <c r="H1047" s="160"/>
      <c r="K1047" s="2"/>
    </row>
    <row r="1048" spans="1:11" ht="15.75" customHeight="1">
      <c r="A1048" s="162" t="s">
        <v>2973</v>
      </c>
      <c r="B1048" s="158" t="s">
        <v>2972</v>
      </c>
      <c r="C1048" s="159" t="s">
        <v>75</v>
      </c>
      <c r="D1048" s="159" t="s">
        <v>87</v>
      </c>
      <c r="E1048" s="192" t="s">
        <v>285</v>
      </c>
      <c r="F1048" s="2" t="s">
        <v>2155</v>
      </c>
      <c r="G1048" s="500"/>
      <c r="H1048" s="160"/>
    </row>
    <row r="1049" spans="1:11" ht="15.75" customHeight="1">
      <c r="A1049" s="168" t="s">
        <v>2974</v>
      </c>
      <c r="B1049" s="159" t="s">
        <v>2972</v>
      </c>
      <c r="C1049" s="159" t="s">
        <v>75</v>
      </c>
      <c r="D1049" s="159" t="s">
        <v>87</v>
      </c>
      <c r="E1049" s="192" t="s">
        <v>285</v>
      </c>
      <c r="F1049" s="160"/>
      <c r="G1049" s="500"/>
      <c r="H1049" s="160"/>
    </row>
    <row r="1050" spans="1:11" ht="15.75" customHeight="1">
      <c r="A1050" s="162" t="s">
        <v>2976</v>
      </c>
      <c r="B1050" s="158" t="s">
        <v>2972</v>
      </c>
      <c r="C1050" s="159" t="s">
        <v>75</v>
      </c>
      <c r="D1050" s="159" t="s">
        <v>87</v>
      </c>
      <c r="E1050" s="192" t="s">
        <v>1910</v>
      </c>
      <c r="F1050" s="160"/>
      <c r="G1050" s="500"/>
      <c r="H1050" s="160"/>
    </row>
    <row r="1051" spans="1:11" ht="15.75" customHeight="1">
      <c r="A1051" s="162" t="s">
        <v>2979</v>
      </c>
      <c r="B1051" s="158" t="s">
        <v>2978</v>
      </c>
      <c r="C1051" s="159" t="s">
        <v>140</v>
      </c>
      <c r="D1051" s="159" t="s">
        <v>95</v>
      </c>
      <c r="E1051" s="192" t="s">
        <v>285</v>
      </c>
      <c r="F1051" s="2" t="s">
        <v>2155</v>
      </c>
      <c r="G1051" s="500"/>
      <c r="H1051" s="160"/>
    </row>
    <row r="1052" spans="1:11" ht="15.75" customHeight="1">
      <c r="A1052" s="162" t="s">
        <v>2981</v>
      </c>
      <c r="B1052" s="158" t="s">
        <v>2980</v>
      </c>
      <c r="C1052" s="159" t="s">
        <v>140</v>
      </c>
      <c r="D1052" s="159" t="s">
        <v>95</v>
      </c>
      <c r="E1052" s="192" t="s">
        <v>285</v>
      </c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 D1046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66" bestFit="1" customWidth="1"/>
    <col min="26" max="16384" width="11" style="559"/>
  </cols>
  <sheetData>
    <row r="1" spans="1:25" ht="15.75">
      <c r="B1" s="1254" t="str">
        <f>Parametres!$B$1&amp;" "&amp;"2 pager"&amp;" "&amp;Parametres!$B$3&amp;" "&amp;Parametres!$B$4</f>
        <v>BMW Sherbrooke 2 pager Avril 2025</v>
      </c>
      <c r="C1" s="1254"/>
      <c r="D1" s="1254"/>
      <c r="E1" s="1254"/>
      <c r="F1" s="1254"/>
      <c r="G1" s="1254"/>
      <c r="H1" s="1254"/>
      <c r="I1" s="1254"/>
      <c r="J1" s="1254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2816</v>
      </c>
      <c r="H3" s="570" t="s">
        <v>333</v>
      </c>
      <c r="I3" s="572" t="s">
        <v>2817</v>
      </c>
      <c r="J3" s="1057" t="s">
        <v>329</v>
      </c>
    </row>
    <row r="4" spans="1:25" ht="15" customHeight="1">
      <c r="A4" s="759"/>
      <c r="B4" s="736" t="s">
        <v>312</v>
      </c>
      <c r="C4" s="737">
        <f>+Print_Mois!$J$13+Print_Mois!$J$15</f>
        <v>29</v>
      </c>
      <c r="D4" s="737">
        <f>+Print_Mois!$D$13+Print_Mois!$D$15</f>
        <v>32</v>
      </c>
      <c r="E4" s="737">
        <f>+Print_Mois!$O$13+Print_Mois!$O$15</f>
        <v>30</v>
      </c>
      <c r="F4" s="738">
        <f t="shared" ref="F4:F15" si="0">+IFERROR($C4-D4,"")</f>
        <v>-3</v>
      </c>
      <c r="G4" s="739">
        <f t="shared" ref="G4:G15" si="1">+IFERROR($C4-E4,"")</f>
        <v>-1</v>
      </c>
      <c r="H4" s="792">
        <f t="shared" ref="H4:H15" si="2">+IFERROR(F4/ABS($D4),"")</f>
        <v>-9.375E-2</v>
      </c>
      <c r="I4" s="1051">
        <f t="shared" ref="I4:I14" si="3">+IFERROR(G4/ABS($E4),"")</f>
        <v>-3.3333333333333333E-2</v>
      </c>
      <c r="J4" s="1251"/>
    </row>
    <row r="5" spans="1:25">
      <c r="A5" s="759"/>
      <c r="B5" s="561" t="s">
        <v>313</v>
      </c>
      <c r="C5" s="683">
        <f>+Print_Mois!$L$13+Print_Mois!$L$15</f>
        <v>126623.39999999991</v>
      </c>
      <c r="D5" s="683">
        <f>+Print_Mois!$F$13+Print_Mois!$F$15</f>
        <v>118069.91375327275</v>
      </c>
      <c r="E5" s="683">
        <f>+Print_Mois!$Q$13+Print_Mois!$Q$15</f>
        <v>140490.95000000013</v>
      </c>
      <c r="F5" s="684">
        <f t="shared" si="0"/>
        <v>8553.4862467271596</v>
      </c>
      <c r="G5" s="685">
        <f t="shared" si="1"/>
        <v>-13867.550000000221</v>
      </c>
      <c r="H5" s="757">
        <f t="shared" si="2"/>
        <v>7.2444249130232535E-2</v>
      </c>
      <c r="I5" s="1052">
        <f t="shared" si="3"/>
        <v>-9.8707781533260389E-2</v>
      </c>
      <c r="J5" s="1252"/>
    </row>
    <row r="6" spans="1:25">
      <c r="A6" s="759"/>
      <c r="B6" s="561" t="s">
        <v>314</v>
      </c>
      <c r="C6" s="683">
        <f>+C5/C4</f>
        <v>4366.3241379310311</v>
      </c>
      <c r="D6" s="683">
        <f>+D5/D4</f>
        <v>3689.6848047897734</v>
      </c>
      <c r="E6" s="683">
        <f>+E5/E4</f>
        <v>4683.0316666666713</v>
      </c>
      <c r="F6" s="684">
        <f t="shared" si="0"/>
        <v>676.63933314125779</v>
      </c>
      <c r="G6" s="685">
        <f t="shared" si="1"/>
        <v>-316.70752873564015</v>
      </c>
      <c r="H6" s="758">
        <f>+IFERROR(F6/ABS($D6),"")</f>
        <v>0.1833867576609462</v>
      </c>
      <c r="I6" s="1053">
        <f t="shared" si="3"/>
        <v>-6.7628739517166012E-2</v>
      </c>
      <c r="J6" s="1252"/>
    </row>
    <row r="7" spans="1:25">
      <c r="A7" s="759"/>
      <c r="B7" s="561" t="s">
        <v>315</v>
      </c>
      <c r="C7" s="683">
        <f>+Print_Mois!$L$31</f>
        <v>31545.82</v>
      </c>
      <c r="D7" s="683">
        <f>+Print_Mois!$F$31</f>
        <v>33241.545244123838</v>
      </c>
      <c r="E7" s="683">
        <f>+Print_Mois!$Q$31</f>
        <v>37232.949999999997</v>
      </c>
      <c r="F7" s="684">
        <f t="shared" si="0"/>
        <v>-1695.7252441238379</v>
      </c>
      <c r="G7" s="685">
        <f t="shared" si="1"/>
        <v>-5687.1299999999974</v>
      </c>
      <c r="H7" s="757">
        <f t="shared" si="2"/>
        <v>-5.101222676835681E-2</v>
      </c>
      <c r="I7" s="1052">
        <f t="shared" si="3"/>
        <v>-0.15274454481850075</v>
      </c>
      <c r="J7" s="1252"/>
      <c r="N7" s="1169"/>
      <c r="O7" s="1169"/>
      <c r="P7" s="1169"/>
      <c r="Q7" s="1169"/>
      <c r="R7" s="1169"/>
      <c r="S7" s="1169"/>
      <c r="T7" s="1169"/>
      <c r="U7" s="1169"/>
      <c r="V7" s="1169"/>
      <c r="W7" s="1169"/>
      <c r="X7" s="1169"/>
      <c r="Y7" s="1169"/>
    </row>
    <row r="8" spans="1:25">
      <c r="A8" s="759"/>
      <c r="B8" s="561" t="s">
        <v>316</v>
      </c>
      <c r="C8" s="688">
        <f>+C7/C5</f>
        <v>0.24913104528862773</v>
      </c>
      <c r="D8" s="688">
        <f>+D7/D5</f>
        <v>0.28154120035683033</v>
      </c>
      <c r="E8" s="688">
        <f>+E7/E5</f>
        <v>0.26502027354786883</v>
      </c>
      <c r="F8" s="686">
        <f t="shared" si="0"/>
        <v>-3.2410155068202606E-2</v>
      </c>
      <c r="G8" s="687">
        <f t="shared" si="1"/>
        <v>-1.5889228259241106E-2</v>
      </c>
      <c r="H8" s="757">
        <f t="shared" si="2"/>
        <v>-0.11511691726512993</v>
      </c>
      <c r="I8" s="1052">
        <f>+IFERROR(G8/ABS($E8),"")</f>
        <v>-5.9954765145056502E-2</v>
      </c>
      <c r="J8" s="1252"/>
      <c r="N8" s="1169"/>
      <c r="O8" s="1169"/>
      <c r="P8" s="1169"/>
      <c r="Q8" s="1169"/>
      <c r="R8" s="1169"/>
      <c r="S8" s="1169"/>
      <c r="T8" s="1169"/>
      <c r="U8" s="1169"/>
      <c r="V8" s="1169"/>
      <c r="W8" s="1169"/>
      <c r="X8" s="1169"/>
      <c r="Y8" s="1169"/>
    </row>
    <row r="9" spans="1:25">
      <c r="A9" s="759"/>
      <c r="B9" s="561" t="s">
        <v>317</v>
      </c>
      <c r="C9" s="683">
        <f>+Print_Mois!$L$24</f>
        <v>73529.670000000013</v>
      </c>
      <c r="D9" s="683">
        <f>+Print_Mois!$F$24</f>
        <v>52960</v>
      </c>
      <c r="E9" s="683">
        <f>+Print_Mois!$Q$24</f>
        <v>52259.28</v>
      </c>
      <c r="F9" s="684">
        <f t="shared" si="0"/>
        <v>20569.670000000013</v>
      </c>
      <c r="G9" s="685">
        <f t="shared" si="1"/>
        <v>21270.390000000014</v>
      </c>
      <c r="H9" s="757">
        <f t="shared" si="2"/>
        <v>0.38840011329305157</v>
      </c>
      <c r="I9" s="1052">
        <f t="shared" si="3"/>
        <v>0.40701651457884636</v>
      </c>
      <c r="J9" s="1252"/>
      <c r="N9" s="1167"/>
      <c r="O9" s="1167"/>
      <c r="P9" s="1167"/>
      <c r="Q9" s="1167"/>
      <c r="R9" s="1167"/>
      <c r="S9" s="1167"/>
      <c r="T9" s="1167"/>
      <c r="U9" s="1167"/>
      <c r="V9" s="1167"/>
      <c r="W9" s="1167"/>
      <c r="X9" s="1167"/>
      <c r="Y9" s="1167"/>
    </row>
    <row r="10" spans="1:25">
      <c r="A10" s="759"/>
      <c r="B10" s="561" t="s">
        <v>318</v>
      </c>
      <c r="C10" s="683">
        <f>+C9/C4</f>
        <v>2535.5058620689661</v>
      </c>
      <c r="D10" s="683">
        <f>+D9/D4</f>
        <v>1655</v>
      </c>
      <c r="E10" s="683">
        <f>+E9/E4</f>
        <v>1741.9759999999999</v>
      </c>
      <c r="F10" s="684">
        <f t="shared" si="0"/>
        <v>880.50586206896605</v>
      </c>
      <c r="G10" s="685">
        <f t="shared" si="1"/>
        <v>793.52986206896617</v>
      </c>
      <c r="H10" s="758">
        <f t="shared" si="2"/>
        <v>0.5320277112199191</v>
      </c>
      <c r="I10" s="1053">
        <f t="shared" si="3"/>
        <v>0.45553432542639294</v>
      </c>
      <c r="J10" s="1252"/>
    </row>
    <row r="11" spans="1:25">
      <c r="A11" s="759"/>
      <c r="B11" s="561" t="s">
        <v>319</v>
      </c>
      <c r="C11" s="683">
        <f>+Print_Mois!$L$32</f>
        <v>25415.53</v>
      </c>
      <c r="D11" s="683">
        <f>+Print_Mois!$F$32</f>
        <v>14564.000000000002</v>
      </c>
      <c r="E11" s="683">
        <f>+Print_Mois!$Q$32</f>
        <v>21287.41</v>
      </c>
      <c r="F11" s="684">
        <f t="shared" si="0"/>
        <v>10851.529999999997</v>
      </c>
      <c r="G11" s="685">
        <f t="shared" si="1"/>
        <v>4128.119999999999</v>
      </c>
      <c r="H11" s="757">
        <f t="shared" si="2"/>
        <v>0.74509269431474845</v>
      </c>
      <c r="I11" s="1052">
        <f t="shared" si="3"/>
        <v>0.19392307471881262</v>
      </c>
      <c r="J11" s="1252"/>
    </row>
    <row r="12" spans="1:25">
      <c r="A12" s="759"/>
      <c r="B12" s="561" t="s">
        <v>320</v>
      </c>
      <c r="C12" s="688">
        <f>+C11/C9</f>
        <v>0.34564999407722075</v>
      </c>
      <c r="D12" s="688">
        <f>+D11/D9</f>
        <v>0.27500000000000002</v>
      </c>
      <c r="E12" s="688">
        <f>+E11/E9</f>
        <v>0.40734219836170726</v>
      </c>
      <c r="F12" s="686">
        <f t="shared" si="0"/>
        <v>7.0649994077220724E-2</v>
      </c>
      <c r="G12" s="689">
        <f t="shared" si="1"/>
        <v>-6.1692204284486518E-2</v>
      </c>
      <c r="H12" s="757">
        <f t="shared" si="2"/>
        <v>0.25690906937171171</v>
      </c>
      <c r="I12" s="1052">
        <f t="shared" si="3"/>
        <v>-0.15145056056702907</v>
      </c>
      <c r="J12" s="1252"/>
    </row>
    <row r="13" spans="1:25">
      <c r="A13" s="759"/>
      <c r="B13" s="561" t="s">
        <v>321</v>
      </c>
      <c r="C13" s="683">
        <f>+Print_Mois!$L$41-C7-C11</f>
        <v>48752.540000000008</v>
      </c>
      <c r="D13" s="683">
        <f>+Print_Mois!$F$41-D7-D11</f>
        <v>54900.603026908881</v>
      </c>
      <c r="E13" s="683">
        <f>+Print_Mois!$Q$41-E7-E11</f>
        <v>56553.08</v>
      </c>
      <c r="F13" s="684">
        <f t="shared" si="0"/>
        <v>-6148.0630269088724</v>
      </c>
      <c r="G13" s="685">
        <f t="shared" si="1"/>
        <v>-7800.5399999999936</v>
      </c>
      <c r="H13" s="757">
        <f t="shared" si="2"/>
        <v>-0.11198534602425901</v>
      </c>
      <c r="I13" s="1052">
        <f t="shared" si="3"/>
        <v>-0.13793307101929717</v>
      </c>
      <c r="J13" s="1252"/>
    </row>
    <row r="14" spans="1:25">
      <c r="A14" s="759"/>
      <c r="B14" s="561" t="s">
        <v>322</v>
      </c>
      <c r="C14" s="683">
        <f>+C13/C4</f>
        <v>1681.1220689655174</v>
      </c>
      <c r="D14" s="683">
        <f>+D13/D4</f>
        <v>1715.6438445909025</v>
      </c>
      <c r="E14" s="683">
        <f>+E13/E4</f>
        <v>1885.1026666666667</v>
      </c>
      <c r="F14" s="684">
        <f t="shared" si="0"/>
        <v>-34.521775625385089</v>
      </c>
      <c r="G14" s="685">
        <f t="shared" si="1"/>
        <v>-203.98059770114924</v>
      </c>
      <c r="H14" s="757">
        <f t="shared" si="2"/>
        <v>-2.0121761130216891E-2</v>
      </c>
      <c r="I14" s="1052">
        <f t="shared" si="3"/>
        <v>-0.10820662519237638</v>
      </c>
      <c r="J14" s="1252"/>
    </row>
    <row r="15" spans="1:25">
      <c r="A15" s="759"/>
      <c r="B15" s="561" t="s">
        <v>323</v>
      </c>
      <c r="C15" s="683">
        <f>+Print_Mois!$L$83</f>
        <v>113929.85</v>
      </c>
      <c r="D15" s="683">
        <f>+Print_Mois!$F$83</f>
        <v>127464.94964000001</v>
      </c>
      <c r="E15" s="683">
        <f>+Print_Mois!$Q$83</f>
        <v>121271.42</v>
      </c>
      <c r="F15" s="684">
        <f t="shared" si="0"/>
        <v>-13535.09964</v>
      </c>
      <c r="G15" s="685">
        <f t="shared" si="1"/>
        <v>-7341.5699999999924</v>
      </c>
      <c r="H15" s="757">
        <f t="shared" si="2"/>
        <v>-0.10618683550440541</v>
      </c>
      <c r="I15" s="1052">
        <f>+IFERROR(G15/ABS($E15),"")</f>
        <v>-6.0538336237837345E-2</v>
      </c>
      <c r="J15" s="1252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4"/>
      <c r="J16" s="1252"/>
    </row>
    <row r="17" spans="1:25">
      <c r="A17" s="759"/>
      <c r="B17" s="732" t="s">
        <v>312</v>
      </c>
      <c r="C17" s="733">
        <v>66</v>
      </c>
      <c r="D17" s="733">
        <v>47</v>
      </c>
      <c r="E17" s="1132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5">
        <f>+IFERROR(G17/ABS($E17),"")</f>
        <v>0.46666666666666667</v>
      </c>
      <c r="J17" s="1252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6">
        <f>+IFERROR(G18/ABS($E18),"")</f>
        <v>0.29269520668719323</v>
      </c>
      <c r="J18" s="1253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59" t="s">
        <v>329</v>
      </c>
    </row>
    <row r="21" spans="1:25" ht="15" customHeight="1">
      <c r="B21" s="560" t="s">
        <v>312</v>
      </c>
      <c r="C21" s="578">
        <f>+Print_Mois!$J$97</f>
        <v>22</v>
      </c>
      <c r="D21" s="578">
        <f>+Print_Mois!$D$97</f>
        <v>27</v>
      </c>
      <c r="E21" s="578">
        <f>+Print_Mois!$O$97</f>
        <v>28</v>
      </c>
      <c r="F21" s="579">
        <f t="shared" ref="F21:F32" si="4">+IFERROR($C21-D21,"")</f>
        <v>-5</v>
      </c>
      <c r="G21" s="580">
        <f t="shared" ref="G21:G32" si="5">+IFERROR($C21-E21,"")</f>
        <v>-6</v>
      </c>
      <c r="H21" s="792">
        <f t="shared" ref="H21:H32" si="6">+IFERROR(F21/ABS($D21),"")</f>
        <v>-0.18518518518518517</v>
      </c>
      <c r="I21" s="1051">
        <f t="shared" ref="I21:I32" si="7">+IFERROR(G21/ABS($E21),"")</f>
        <v>-0.21428571428571427</v>
      </c>
      <c r="J21" s="1251"/>
    </row>
    <row r="22" spans="1:25">
      <c r="B22" s="561" t="s">
        <v>313</v>
      </c>
      <c r="C22" s="683">
        <f>+Print_Mois!$L$97</f>
        <v>47875.959999999977</v>
      </c>
      <c r="D22" s="683">
        <f>+Print_Mois!$F$97</f>
        <v>48600</v>
      </c>
      <c r="E22" s="683">
        <f>+Print_Mois!$Q$97</f>
        <v>38589.139999999796</v>
      </c>
      <c r="F22" s="684">
        <f t="shared" si="4"/>
        <v>-724.0400000000227</v>
      </c>
      <c r="G22" s="685">
        <f t="shared" si="5"/>
        <v>9286.8200000001816</v>
      </c>
      <c r="H22" s="757">
        <f t="shared" si="6"/>
        <v>-1.4897942386831743E-2</v>
      </c>
      <c r="I22" s="1052">
        <f t="shared" si="7"/>
        <v>0.24065890040566415</v>
      </c>
      <c r="J22" s="1252"/>
    </row>
    <row r="23" spans="1:25">
      <c r="B23" s="561" t="s">
        <v>314</v>
      </c>
      <c r="C23" s="683">
        <f>+C22/C21</f>
        <v>2176.1799999999989</v>
      </c>
      <c r="D23" s="683">
        <f>+D22/D21</f>
        <v>1800</v>
      </c>
      <c r="E23" s="683">
        <f>+E22/E21</f>
        <v>1378.1835714285642</v>
      </c>
      <c r="F23" s="684">
        <f t="shared" si="4"/>
        <v>376.17999999999893</v>
      </c>
      <c r="G23" s="685">
        <f t="shared" si="5"/>
        <v>797.99642857143476</v>
      </c>
      <c r="H23" s="758">
        <f t="shared" si="6"/>
        <v>0.20898888888888828</v>
      </c>
      <c r="I23" s="1053">
        <f t="shared" si="7"/>
        <v>0.57902041869811793</v>
      </c>
      <c r="J23" s="1252"/>
    </row>
    <row r="24" spans="1:25">
      <c r="B24" s="561" t="s">
        <v>315</v>
      </c>
      <c r="C24" s="683">
        <f>+Print_Mois!$L$112</f>
        <v>14689.49</v>
      </c>
      <c r="D24" s="683">
        <f>+Print_Mois!$F$112</f>
        <v>16114.099616858237</v>
      </c>
      <c r="E24" s="683">
        <f>+Print_Mois!$Q$112</f>
        <v>19262.32</v>
      </c>
      <c r="F24" s="684">
        <f t="shared" si="4"/>
        <v>-1424.6096168582371</v>
      </c>
      <c r="G24" s="685">
        <f t="shared" si="5"/>
        <v>-4572.83</v>
      </c>
      <c r="H24" s="757">
        <f t="shared" si="6"/>
        <v>-8.8407646144115934E-2</v>
      </c>
      <c r="I24" s="1052">
        <f t="shared" si="7"/>
        <v>-0.23739767587704907</v>
      </c>
      <c r="J24" s="1252"/>
    </row>
    <row r="25" spans="1:25">
      <c r="B25" s="561" t="s">
        <v>316</v>
      </c>
      <c r="C25" s="688">
        <f>+C24/C22</f>
        <v>0.30682392582832818</v>
      </c>
      <c r="D25" s="688">
        <f>+D24/D22</f>
        <v>0.33156583573782378</v>
      </c>
      <c r="E25" s="688">
        <f>+E24/E22</f>
        <v>0.49916427264251295</v>
      </c>
      <c r="F25" s="686">
        <f t="shared" si="4"/>
        <v>-2.4741909909495596E-2</v>
      </c>
      <c r="G25" s="687">
        <f t="shared" si="5"/>
        <v>-0.19234034681418477</v>
      </c>
      <c r="H25" s="757">
        <f t="shared" si="6"/>
        <v>-7.4621409212556972E-2</v>
      </c>
      <c r="I25" s="1052">
        <f t="shared" si="7"/>
        <v>-0.38532474649269094</v>
      </c>
      <c r="J25" s="1252"/>
      <c r="N25" s="1169"/>
      <c r="O25" s="1169"/>
      <c r="P25" s="1169"/>
      <c r="Q25" s="1169"/>
      <c r="R25" s="1169"/>
      <c r="S25" s="1169"/>
      <c r="T25" s="1169"/>
      <c r="U25" s="1169"/>
      <c r="V25" s="1169"/>
      <c r="W25" s="1169"/>
      <c r="X25" s="1169"/>
      <c r="Y25" s="1169"/>
    </row>
    <row r="26" spans="1:25">
      <c r="B26" s="561" t="s">
        <v>317</v>
      </c>
      <c r="C26" s="683">
        <f>+Print_Mois!$L$105</f>
        <v>51387.599999999991</v>
      </c>
      <c r="D26" s="683">
        <f>+Print_Mois!$F$105</f>
        <v>39150</v>
      </c>
      <c r="E26" s="683">
        <f>+Print_Mois!$Q$105</f>
        <v>35736.79</v>
      </c>
      <c r="F26" s="684">
        <f t="shared" si="4"/>
        <v>12237.599999999991</v>
      </c>
      <c r="G26" s="685">
        <f t="shared" si="5"/>
        <v>15650.80999999999</v>
      </c>
      <c r="H26" s="757">
        <f t="shared" si="6"/>
        <v>0.31258237547892698</v>
      </c>
      <c r="I26" s="1052">
        <f t="shared" si="7"/>
        <v>0.43794672101215554</v>
      </c>
      <c r="J26" s="1252"/>
      <c r="N26" s="1169"/>
      <c r="O26" s="1169"/>
      <c r="P26" s="1169"/>
      <c r="Q26" s="1169"/>
      <c r="R26" s="1169"/>
      <c r="S26" s="1169"/>
      <c r="T26" s="1169"/>
      <c r="U26" s="1169"/>
      <c r="V26" s="1169"/>
      <c r="W26" s="1169"/>
      <c r="X26" s="1169"/>
      <c r="Y26" s="1169"/>
    </row>
    <row r="27" spans="1:25">
      <c r="B27" s="561" t="s">
        <v>318</v>
      </c>
      <c r="C27" s="683">
        <f>+C26/C21</f>
        <v>2335.7999999999997</v>
      </c>
      <c r="D27" s="683">
        <f>+D26/D21</f>
        <v>1450</v>
      </c>
      <c r="E27" s="683">
        <f>+E26/E21</f>
        <v>1276.3139285714285</v>
      </c>
      <c r="F27" s="684">
        <f t="shared" si="4"/>
        <v>885.79999999999973</v>
      </c>
      <c r="G27" s="685">
        <f t="shared" si="5"/>
        <v>1059.4860714285712</v>
      </c>
      <c r="H27" s="758">
        <f t="shared" si="6"/>
        <v>0.6108965517241377</v>
      </c>
      <c r="I27" s="1053">
        <f t="shared" si="7"/>
        <v>0.83011400856092543</v>
      </c>
      <c r="J27" s="1252"/>
      <c r="N27" s="1167"/>
      <c r="O27" s="1167"/>
      <c r="P27" s="1167"/>
      <c r="Q27" s="1167"/>
      <c r="R27" s="1167"/>
      <c r="S27" s="1167"/>
      <c r="T27" s="1167"/>
      <c r="U27" s="1167"/>
      <c r="V27" s="1167"/>
      <c r="W27" s="1167"/>
      <c r="X27" s="1167"/>
      <c r="Y27" s="1167"/>
    </row>
    <row r="28" spans="1:25">
      <c r="B28" s="561" t="s">
        <v>319</v>
      </c>
      <c r="C28" s="683">
        <f>+Print_Mois!$L$113</f>
        <v>13425.45</v>
      </c>
      <c r="D28" s="683">
        <f>+Print_Mois!$F$113</f>
        <v>10766.25</v>
      </c>
      <c r="E28" s="683">
        <f>+Print_Mois!$Q$113</f>
        <v>10323.24</v>
      </c>
      <c r="F28" s="684">
        <f t="shared" si="4"/>
        <v>2659.2000000000007</v>
      </c>
      <c r="G28" s="685">
        <f t="shared" si="5"/>
        <v>3102.2100000000009</v>
      </c>
      <c r="H28" s="757">
        <f t="shared" si="6"/>
        <v>0.24699407871821671</v>
      </c>
      <c r="I28" s="1052">
        <f t="shared" si="7"/>
        <v>0.30050739883989919</v>
      </c>
      <c r="J28" s="1252"/>
    </row>
    <row r="29" spans="1:25">
      <c r="B29" s="561" t="s">
        <v>320</v>
      </c>
      <c r="C29" s="688">
        <f>+C28/C26</f>
        <v>0.26125855264694214</v>
      </c>
      <c r="D29" s="688">
        <f>+D28/D26</f>
        <v>0.27500000000000002</v>
      </c>
      <c r="E29" s="688">
        <f>+E28/E26</f>
        <v>0.28886869805598098</v>
      </c>
      <c r="F29" s="686">
        <f t="shared" si="4"/>
        <v>-1.3741447353057878E-2</v>
      </c>
      <c r="G29" s="689">
        <f t="shared" si="5"/>
        <v>-2.7610145409038833E-2</v>
      </c>
      <c r="H29" s="757">
        <f t="shared" si="6"/>
        <v>-4.9968899465665011E-2</v>
      </c>
      <c r="I29" s="1052">
        <f t="shared" si="7"/>
        <v>-9.5580260494988481E-2</v>
      </c>
      <c r="J29" s="1252"/>
    </row>
    <row r="30" spans="1:25">
      <c r="B30" s="561" t="s">
        <v>321</v>
      </c>
      <c r="C30" s="683">
        <f>+Print_Mois!$L$122-C24-C28</f>
        <v>14277.360000000004</v>
      </c>
      <c r="D30" s="683">
        <f>+Print_Mois!$F$122-D24-D28</f>
        <v>18364.181229508198</v>
      </c>
      <c r="E30" s="683">
        <f>+Print_Mois!$Q$122-E24-E28</f>
        <v>18396.350000000006</v>
      </c>
      <c r="F30" s="684">
        <f t="shared" si="4"/>
        <v>-4086.8212295081939</v>
      </c>
      <c r="G30" s="685">
        <f t="shared" si="5"/>
        <v>-4118.9900000000016</v>
      </c>
      <c r="H30" s="757">
        <f t="shared" si="6"/>
        <v>-0.22254306785762651</v>
      </c>
      <c r="I30" s="1052">
        <f t="shared" si="7"/>
        <v>-0.22390256762890468</v>
      </c>
      <c r="J30" s="1252"/>
    </row>
    <row r="31" spans="1:25">
      <c r="B31" s="561" t="s">
        <v>322</v>
      </c>
      <c r="C31" s="683">
        <f>+C30/C21</f>
        <v>648.97090909090923</v>
      </c>
      <c r="D31" s="683">
        <f>+D30/D21</f>
        <v>680.15486035215554</v>
      </c>
      <c r="E31" s="683">
        <f>+E30/E21</f>
        <v>657.01250000000016</v>
      </c>
      <c r="F31" s="684">
        <f t="shared" si="4"/>
        <v>-31.183951261246307</v>
      </c>
      <c r="G31" s="685">
        <f t="shared" si="5"/>
        <v>-8.0415909090909281</v>
      </c>
      <c r="H31" s="757">
        <f t="shared" si="6"/>
        <v>-4.5848310552541773E-2</v>
      </c>
      <c r="I31" s="1052">
        <f>+IFERROR(G31/ABS($E31),"")</f>
        <v>-1.2239631527696849E-2</v>
      </c>
      <c r="J31" s="1252"/>
    </row>
    <row r="32" spans="1:25">
      <c r="B32" s="561" t="s">
        <v>323</v>
      </c>
      <c r="C32" s="683">
        <f>+Print_Mois!$L$163</f>
        <v>13445</v>
      </c>
      <c r="D32" s="683">
        <f>+Print_Mois!$F$163</f>
        <v>17914.949999999997</v>
      </c>
      <c r="E32" s="683">
        <f>+Print_Mois!$Q$163</f>
        <v>15715</v>
      </c>
      <c r="F32" s="684">
        <f t="shared" si="4"/>
        <v>-4469.9499999999971</v>
      </c>
      <c r="G32" s="685">
        <f t="shared" si="5"/>
        <v>-2270</v>
      </c>
      <c r="H32" s="757">
        <f t="shared" si="6"/>
        <v>-0.24950948788581592</v>
      </c>
      <c r="I32" s="1052">
        <f t="shared" si="7"/>
        <v>-0.14444797963728923</v>
      </c>
      <c r="J32" s="1252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58"/>
      <c r="J33" s="1252"/>
    </row>
    <row r="34" spans="2:10">
      <c r="B34" s="732" t="s">
        <v>312</v>
      </c>
      <c r="C34" s="733">
        <v>34</v>
      </c>
      <c r="D34" s="733">
        <v>49</v>
      </c>
      <c r="E34" s="1132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5">
        <f>+IFERROR(G34/ABS($E34),"")</f>
        <v>-0.32</v>
      </c>
      <c r="J34" s="1252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6">
        <f>+IFERROR(G35/ABS($E35),"")</f>
        <v>-0.38459414116560847</v>
      </c>
      <c r="J35" s="1253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1" t="s">
        <v>329</v>
      </c>
    </row>
    <row r="38" spans="2:10" ht="28.15" customHeight="1">
      <c r="B38" s="560" t="s">
        <v>325</v>
      </c>
      <c r="C38" s="581">
        <f>+Print_Mois!$K$194</f>
        <v>209396.79999999996</v>
      </c>
      <c r="D38" s="581">
        <f>+Print_Mois!$E$194</f>
        <v>188290.83153842814</v>
      </c>
      <c r="E38" s="581">
        <f>+Print_Mois!$P$194</f>
        <v>176508.7099999999</v>
      </c>
      <c r="F38" s="582">
        <f t="shared" ref="F38:F47" si="8">+IFERROR($C38-D38,"")</f>
        <v>21105.968461571814</v>
      </c>
      <c r="G38" s="583">
        <f t="shared" ref="G38:G47" si="9">+IFERROR($C38-E38,"")</f>
        <v>32888.090000000055</v>
      </c>
      <c r="H38" s="792">
        <f t="shared" ref="H38:H47" si="10">+IFERROR(F38/ABS($D38),"")</f>
        <v>0.11209238542910313</v>
      </c>
      <c r="I38" s="1051">
        <f t="shared" ref="I38:I47" si="11">+IFERROR(G38/ABS($E38),"")</f>
        <v>0.18632559265772253</v>
      </c>
      <c r="J38" s="1251"/>
    </row>
    <row r="39" spans="2:10">
      <c r="B39" s="560" t="s">
        <v>334</v>
      </c>
      <c r="C39" s="581">
        <f>+Print_Mois!$L$194</f>
        <v>154530.53999999998</v>
      </c>
      <c r="D39" s="581">
        <f>+Print_Mois!$F$194</f>
        <v>123216.24395686536</v>
      </c>
      <c r="E39" s="581">
        <f>+Print_Mois!$Q$194</f>
        <v>109999.12</v>
      </c>
      <c r="F39" s="582">
        <f t="shared" si="8"/>
        <v>31314.296043134615</v>
      </c>
      <c r="G39" s="583">
        <f t="shared" si="9"/>
        <v>44531.419999999984</v>
      </c>
      <c r="H39" s="793">
        <f t="shared" si="10"/>
        <v>0.25414097230635346</v>
      </c>
      <c r="I39" s="1060">
        <f t="shared" si="11"/>
        <v>0.40483432958372745</v>
      </c>
      <c r="J39" s="1252"/>
    </row>
    <row r="40" spans="2:10">
      <c r="B40" s="561" t="s">
        <v>335</v>
      </c>
      <c r="C40" s="683">
        <f>+Print_Mois!$K$172/Print_Mois!$J$172</f>
        <v>291.43556390977443</v>
      </c>
      <c r="D40" s="1028">
        <v>324</v>
      </c>
      <c r="E40" s="683">
        <f>+Print_Mois!$P$172/Print_Mois!$O$172</f>
        <v>285.78787162162132</v>
      </c>
      <c r="F40" s="684">
        <f t="shared" si="8"/>
        <v>-32.56443609022557</v>
      </c>
      <c r="G40" s="685">
        <f t="shared" si="9"/>
        <v>5.6476922881531095</v>
      </c>
      <c r="H40" s="757">
        <f t="shared" si="10"/>
        <v>-0.1005075187969925</v>
      </c>
      <c r="I40" s="1052">
        <f t="shared" si="11"/>
        <v>1.9761833335007882E-2</v>
      </c>
      <c r="J40" s="1252"/>
    </row>
    <row r="41" spans="2:10">
      <c r="B41" s="561" t="s">
        <v>336</v>
      </c>
      <c r="C41" s="683">
        <f>+Print_Mois!$K$175/Print_Mois!$J$175</f>
        <v>168.37589552238802</v>
      </c>
      <c r="D41" s="1028">
        <v>145</v>
      </c>
      <c r="E41" s="683">
        <f>+Print_Mois!$P$175/Print_Mois!$O$175</f>
        <v>132.36675496688741</v>
      </c>
      <c r="F41" s="684">
        <f t="shared" si="8"/>
        <v>23.375895522388021</v>
      </c>
      <c r="G41" s="685">
        <f t="shared" si="9"/>
        <v>36.009140555500608</v>
      </c>
      <c r="H41" s="757">
        <f t="shared" si="10"/>
        <v>0.16121307256819326</v>
      </c>
      <c r="I41" s="1052">
        <f t="shared" si="11"/>
        <v>0.27204066885607781</v>
      </c>
      <c r="J41" s="1252"/>
    </row>
    <row r="42" spans="2:10">
      <c r="B42" s="561" t="s">
        <v>328</v>
      </c>
      <c r="C42" s="698">
        <f>+Print_Mois!$L$184</f>
        <v>-2018.56</v>
      </c>
      <c r="D42" s="698">
        <f>+Print_Mois!$F$184</f>
        <v>-3623.3539183866296</v>
      </c>
      <c r="E42" s="698">
        <f>+Print_Mois!$Q$184</f>
        <v>-4926.28</v>
      </c>
      <c r="F42" s="684">
        <f t="shared" si="8"/>
        <v>1604.7939183866297</v>
      </c>
      <c r="G42" s="685">
        <f t="shared" si="9"/>
        <v>2907.72</v>
      </c>
      <c r="H42" s="757">
        <f t="shared" si="10"/>
        <v>0.44290288901758623</v>
      </c>
      <c r="I42" s="1052">
        <f t="shared" si="11"/>
        <v>0.59024659580860206</v>
      </c>
      <c r="J42" s="1252"/>
    </row>
    <row r="43" spans="2:10">
      <c r="B43" s="561" t="s">
        <v>337</v>
      </c>
      <c r="C43" s="683">
        <f>+Print_Mois!$L$210</f>
        <v>79981.17</v>
      </c>
      <c r="D43" s="683">
        <f>+Print_Mois!$F$210</f>
        <v>70322.597730961643</v>
      </c>
      <c r="E43" s="683">
        <f>+Print_Mois!$Q$210</f>
        <v>52574.679999999993</v>
      </c>
      <c r="F43" s="684">
        <f t="shared" si="8"/>
        <v>9658.5722690383554</v>
      </c>
      <c r="G43" s="685">
        <f t="shared" si="9"/>
        <v>27406.490000000005</v>
      </c>
      <c r="H43" s="757">
        <f t="shared" si="10"/>
        <v>0.13734663651064014</v>
      </c>
      <c r="I43" s="1052">
        <f t="shared" si="11"/>
        <v>0.52128686280163772</v>
      </c>
      <c r="J43" s="1252"/>
    </row>
    <row r="44" spans="2:10">
      <c r="B44" s="562" t="s">
        <v>338</v>
      </c>
      <c r="C44" s="683">
        <f>+SUM(Print_Mois!$L$198:$L$204)</f>
        <v>45559.78</v>
      </c>
      <c r="D44" s="683">
        <f>+SUM(Print_Mois!$F$198:$F$204)</f>
        <v>38690.599973810647</v>
      </c>
      <c r="E44" s="683">
        <f>+SUM(Print_Mois!$Q$198:$Q$204)</f>
        <v>33431.899999999994</v>
      </c>
      <c r="F44" s="684">
        <f t="shared" si="8"/>
        <v>6869.1800261893513</v>
      </c>
      <c r="G44" s="685">
        <f t="shared" si="9"/>
        <v>12127.880000000005</v>
      </c>
      <c r="H44" s="757">
        <f t="shared" si="10"/>
        <v>0.17754131574178336</v>
      </c>
      <c r="I44" s="1052">
        <f t="shared" si="11"/>
        <v>0.36276370771628313</v>
      </c>
      <c r="J44" s="1252"/>
    </row>
    <row r="45" spans="2:10">
      <c r="B45" s="562" t="s">
        <v>339</v>
      </c>
      <c r="C45" s="683">
        <f>+SUM(Print_Mois!$L$205:$L$209)</f>
        <v>34421.39</v>
      </c>
      <c r="D45" s="683">
        <f>+SUM(Print_Mois!$F$205:$F$209)</f>
        <v>31631.997757150984</v>
      </c>
      <c r="E45" s="683">
        <f>+SUM(Print_Mois!$Q$205:$Q$209)</f>
        <v>19142.78</v>
      </c>
      <c r="F45" s="684">
        <f t="shared" si="8"/>
        <v>2789.392242849015</v>
      </c>
      <c r="G45" s="685">
        <f t="shared" si="9"/>
        <v>15278.61</v>
      </c>
      <c r="H45" s="757">
        <f t="shared" si="10"/>
        <v>8.8182613828695744E-2</v>
      </c>
      <c r="I45" s="1052">
        <f t="shared" si="11"/>
        <v>0.79813955966688233</v>
      </c>
      <c r="J45" s="1252"/>
    </row>
    <row r="46" spans="2:10">
      <c r="B46" s="561" t="s">
        <v>348</v>
      </c>
      <c r="C46" s="723">
        <f>+C43/C38</f>
        <v>0.38195984847905989</v>
      </c>
      <c r="D46" s="723">
        <f>+D43/D38</f>
        <v>0.37347860836553559</v>
      </c>
      <c r="E46" s="723">
        <f>+E43/E38</f>
        <v>0.29785884220671049</v>
      </c>
      <c r="F46" s="686">
        <f t="shared" si="8"/>
        <v>8.4812401135243021E-3</v>
      </c>
      <c r="G46" s="687">
        <f t="shared" si="9"/>
        <v>8.4101006272349399E-2</v>
      </c>
      <c r="H46" s="757">
        <f t="shared" si="10"/>
        <v>2.2708770793167993E-2</v>
      </c>
      <c r="I46" s="1052">
        <f t="shared" si="11"/>
        <v>0.28235188738826933</v>
      </c>
      <c r="J46" s="1252"/>
    </row>
    <row r="47" spans="2:10">
      <c r="B47" s="584" t="s">
        <v>120</v>
      </c>
      <c r="C47" s="699">
        <f>+Print_Mois!$L$213</f>
        <v>6132.1500000000015</v>
      </c>
      <c r="D47" s="699">
        <f>+Print_Mois!$F$213</f>
        <v>6592.8333333333339</v>
      </c>
      <c r="E47" s="699">
        <f>+Print_Mois!$Q$213</f>
        <v>4922.0499999999902</v>
      </c>
      <c r="F47" s="694">
        <f t="shared" si="8"/>
        <v>-460.68333333333248</v>
      </c>
      <c r="G47" s="695">
        <f t="shared" si="9"/>
        <v>1210.1000000000113</v>
      </c>
      <c r="H47" s="761">
        <f t="shared" si="10"/>
        <v>-6.987638091867418E-2</v>
      </c>
      <c r="I47" s="1056">
        <f t="shared" si="11"/>
        <v>0.24585284586707037</v>
      </c>
      <c r="J47" s="1253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3" t="s">
        <v>329</v>
      </c>
    </row>
    <row r="50" spans="2:25" ht="14.45" customHeight="1">
      <c r="B50" s="589" t="s">
        <v>325</v>
      </c>
      <c r="C50" s="581">
        <f>+Print_Mois!$J$314</f>
        <v>367626.43</v>
      </c>
      <c r="D50" s="581">
        <f>+Print_Mois!$D$314</f>
        <v>282191.96635440463</v>
      </c>
      <c r="E50" s="581">
        <f>+Print_Mois!$O$314</f>
        <v>307892.45999999979</v>
      </c>
      <c r="F50" s="582">
        <f t="shared" ref="F50:F59" si="12">+IFERROR($C50-D50,"")</f>
        <v>85434.463645595359</v>
      </c>
      <c r="G50" s="583">
        <f t="shared" ref="G50:G59" si="13">+IFERROR($C50-E50,"")</f>
        <v>59733.970000000205</v>
      </c>
      <c r="H50" s="792">
        <f t="shared" ref="H50:H59" si="14">+IFERROR(F50/ABS($D50),"")</f>
        <v>0.30275299736314354</v>
      </c>
      <c r="I50" s="1051">
        <f t="shared" ref="I50:I59" si="15">+IFERROR(G50/ABS($E50),"")</f>
        <v>0.19400920048513123</v>
      </c>
      <c r="J50" s="1251"/>
    </row>
    <row r="51" spans="2:25">
      <c r="B51" s="700" t="s">
        <v>326</v>
      </c>
      <c r="C51" s="683">
        <f>+Print_Mois!$J$295</f>
        <v>64717.729999999996</v>
      </c>
      <c r="D51" s="683">
        <f>+Print_Mois!$D$295</f>
        <v>52833.577086390134</v>
      </c>
      <c r="E51" s="683">
        <f>+Print_Mois!$O$295</f>
        <v>49147.909999999902</v>
      </c>
      <c r="F51" s="684">
        <f t="shared" si="12"/>
        <v>11884.152913609862</v>
      </c>
      <c r="G51" s="685">
        <f t="shared" si="13"/>
        <v>15569.820000000094</v>
      </c>
      <c r="H51" s="757">
        <f t="shared" si="14"/>
        <v>0.22493561043912744</v>
      </c>
      <c r="I51" s="1052">
        <f t="shared" si="15"/>
        <v>0.31679515975348954</v>
      </c>
      <c r="J51" s="1252"/>
    </row>
    <row r="52" spans="2:25">
      <c r="B52" s="700" t="s">
        <v>327</v>
      </c>
      <c r="C52" s="683">
        <f>+Print_Mois!$J$297</f>
        <v>56399.720000000008</v>
      </c>
      <c r="D52" s="683">
        <f>+Print_Mois!$D$297</f>
        <v>46238.697338689264</v>
      </c>
      <c r="E52" s="683">
        <f>+Print_Mois!$O$297</f>
        <v>37284.379999999997</v>
      </c>
      <c r="F52" s="684">
        <f t="shared" si="12"/>
        <v>10161.022661310744</v>
      </c>
      <c r="G52" s="685">
        <f t="shared" si="13"/>
        <v>19115.340000000011</v>
      </c>
      <c r="H52" s="757">
        <f t="shared" si="14"/>
        <v>0.2197514905509399</v>
      </c>
      <c r="I52" s="1052">
        <f t="shared" si="15"/>
        <v>0.51269030087130352</v>
      </c>
      <c r="J52" s="1252"/>
    </row>
    <row r="53" spans="2:25">
      <c r="B53" s="700" t="s">
        <v>340</v>
      </c>
      <c r="C53" s="683">
        <f>+Print_Mois!$J$300</f>
        <v>72740.67</v>
      </c>
      <c r="D53" s="683">
        <f>+Print_Mois!$D$300</f>
        <v>38846.442240444754</v>
      </c>
      <c r="E53" s="683">
        <f>+Print_Mois!$O$300</f>
        <v>50271.28</v>
      </c>
      <c r="F53" s="684">
        <f t="shared" si="12"/>
        <v>33894.227759555244</v>
      </c>
      <c r="G53" s="685">
        <f t="shared" si="13"/>
        <v>22469.39</v>
      </c>
      <c r="H53" s="757">
        <f t="shared" si="14"/>
        <v>0.87251819741336467</v>
      </c>
      <c r="I53" s="1052">
        <f t="shared" si="15"/>
        <v>0.44696275885555331</v>
      </c>
      <c r="J53" s="1252"/>
    </row>
    <row r="54" spans="2:25">
      <c r="B54" s="700" t="s">
        <v>341</v>
      </c>
      <c r="C54" s="683">
        <f>+Print_Mois!$J$307</f>
        <v>123870.27</v>
      </c>
      <c r="D54" s="683">
        <f>+Print_Mois!$D$307</f>
        <v>88486.639182204992</v>
      </c>
      <c r="E54" s="683">
        <f>+Print_Mois!$O$307</f>
        <v>112823.72</v>
      </c>
      <c r="F54" s="684">
        <f t="shared" si="12"/>
        <v>35383.630817795012</v>
      </c>
      <c r="G54" s="685">
        <f t="shared" si="13"/>
        <v>11046.550000000003</v>
      </c>
      <c r="H54" s="757">
        <f t="shared" si="14"/>
        <v>0.3998754065564149</v>
      </c>
      <c r="I54" s="1052">
        <f t="shared" si="15"/>
        <v>9.7909818963600945E-2</v>
      </c>
      <c r="J54" s="1252"/>
      <c r="N54" s="1168"/>
      <c r="O54" s="1168"/>
      <c r="P54" s="1168"/>
      <c r="Q54" s="1168"/>
      <c r="R54" s="1168"/>
      <c r="S54" s="1168"/>
      <c r="T54" s="1168"/>
      <c r="U54" s="1168"/>
      <c r="V54" s="1168"/>
      <c r="W54" s="1168"/>
      <c r="X54" s="1168"/>
      <c r="Y54" s="1168"/>
    </row>
    <row r="55" spans="2:25">
      <c r="B55" s="700" t="s">
        <v>342</v>
      </c>
      <c r="C55" s="683">
        <f>+C50-SUM(C51:C54)</f>
        <v>49898.039999999979</v>
      </c>
      <c r="D55" s="683">
        <f>+D50-SUM(D51:D54)</f>
        <v>55786.610506675468</v>
      </c>
      <c r="E55" s="683">
        <f>+E50-SUM(E51:E54)</f>
        <v>58365.169999999896</v>
      </c>
      <c r="F55" s="684">
        <f t="shared" si="12"/>
        <v>-5888.570506675489</v>
      </c>
      <c r="G55" s="685">
        <f t="shared" si="13"/>
        <v>-8467.1299999999173</v>
      </c>
      <c r="H55" s="757">
        <f t="shared" si="14"/>
        <v>-0.10555526591763194</v>
      </c>
      <c r="I55" s="1052">
        <f t="shared" si="15"/>
        <v>-0.14507162405249455</v>
      </c>
      <c r="J55" s="1252"/>
    </row>
    <row r="56" spans="2:25">
      <c r="B56" s="560" t="s">
        <v>334</v>
      </c>
      <c r="C56" s="581">
        <f>+Print_Mois!$L$314</f>
        <v>120089.62000000001</v>
      </c>
      <c r="D56" s="581">
        <f>+Print_Mois!$F$314</f>
        <v>86793.492644185477</v>
      </c>
      <c r="E56" s="581">
        <f>+Print_Mois!$Q$314</f>
        <v>83252.089999999705</v>
      </c>
      <c r="F56" s="582">
        <f t="shared" si="12"/>
        <v>33296.127355814533</v>
      </c>
      <c r="G56" s="583">
        <f t="shared" si="13"/>
        <v>36837.530000000304</v>
      </c>
      <c r="H56" s="793">
        <f t="shared" si="14"/>
        <v>0.38362469744493138</v>
      </c>
      <c r="I56" s="1060">
        <f t="shared" si="15"/>
        <v>0.44248174430216025</v>
      </c>
      <c r="J56" s="1252"/>
      <c r="N56" s="1168"/>
      <c r="O56" s="1168"/>
      <c r="P56" s="1168"/>
      <c r="Q56" s="1168"/>
      <c r="R56" s="1168"/>
      <c r="S56" s="1168"/>
      <c r="T56" s="1168"/>
      <c r="U56" s="1168"/>
      <c r="V56" s="1168"/>
      <c r="W56" s="1168"/>
      <c r="X56" s="1168"/>
      <c r="Y56" s="1168"/>
    </row>
    <row r="57" spans="2:25">
      <c r="B57" s="561" t="s">
        <v>335</v>
      </c>
      <c r="C57" s="683">
        <f>+Print_Mois!$J$295/Print_Mois!$J$172</f>
        <v>162.19982456140349</v>
      </c>
      <c r="D57" s="1028">
        <v>301</v>
      </c>
      <c r="E57" s="683">
        <f>+Print_Mois!$O$295/Print_Mois!$O$172</f>
        <v>166.04023648648615</v>
      </c>
      <c r="F57" s="684">
        <f t="shared" si="12"/>
        <v>-138.80017543859651</v>
      </c>
      <c r="G57" s="685">
        <f t="shared" si="13"/>
        <v>-3.8404119250826625</v>
      </c>
      <c r="H57" s="757">
        <f t="shared" si="14"/>
        <v>-0.4611301509587924</v>
      </c>
      <c r="I57" s="1052">
        <f t="shared" si="15"/>
        <v>-2.3129405295656935E-2</v>
      </c>
      <c r="J57" s="1252"/>
    </row>
    <row r="58" spans="2:25">
      <c r="B58" s="561" t="s">
        <v>336</v>
      </c>
      <c r="C58" s="683">
        <f>+Print_Mois!$J$297/Print_Mois!$J$175</f>
        <v>420.89343283582093</v>
      </c>
      <c r="D58" s="1028">
        <v>306</v>
      </c>
      <c r="E58" s="683">
        <f>+Print_Mois!$O$297/Print_Mois!$O$175</f>
        <v>246.91642384105958</v>
      </c>
      <c r="F58" s="684">
        <f t="shared" si="12"/>
        <v>114.89343283582093</v>
      </c>
      <c r="G58" s="685">
        <f t="shared" si="13"/>
        <v>173.97700899476135</v>
      </c>
      <c r="H58" s="757">
        <f t="shared" si="14"/>
        <v>0.37546873475758474</v>
      </c>
      <c r="I58" s="1052">
        <f t="shared" si="15"/>
        <v>0.7045987718773643</v>
      </c>
      <c r="J58" s="1252"/>
    </row>
    <row r="59" spans="2:25">
      <c r="B59" s="584" t="s">
        <v>111</v>
      </c>
      <c r="C59" s="699">
        <f>+Print_Mois!$L$320</f>
        <v>14705.29</v>
      </c>
      <c r="D59" s="699">
        <f>+Print_Mois!$F$320</f>
        <v>13715.474406130268</v>
      </c>
      <c r="E59" s="699">
        <f>+Print_Mois!$Q$320</f>
        <v>14885.99</v>
      </c>
      <c r="F59" s="694">
        <f t="shared" si="12"/>
        <v>989.81559386973277</v>
      </c>
      <c r="G59" s="695">
        <f t="shared" si="13"/>
        <v>-180.69999999999891</v>
      </c>
      <c r="H59" s="761">
        <f t="shared" si="14"/>
        <v>7.2167798543470343E-2</v>
      </c>
      <c r="I59" s="1062">
        <f t="shared" si="15"/>
        <v>-1.2138930632090907E-2</v>
      </c>
      <c r="J59" s="1253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54" t="s">
        <v>329</v>
      </c>
    </row>
    <row r="62" spans="2:25" ht="29.25" customHeight="1">
      <c r="B62" s="701" t="s">
        <v>344</v>
      </c>
      <c r="C62" s="702">
        <f>+Print_Mois!$AF$433/Print_Mois!$AF$407</f>
        <v>0.33461883242518131</v>
      </c>
      <c r="D62" s="702">
        <f>+Print_Mois!$Z$433/Print_Mois!$Z$407</f>
        <v>0.38375186687098983</v>
      </c>
      <c r="E62" s="702">
        <f>+Print_Mois!$AL$433/Print_Mois!$AL$407</f>
        <v>0.32591211730820424</v>
      </c>
      <c r="F62" s="686">
        <f t="shared" ref="F62:G67" si="16">+IFERROR($C62-D62,"")</f>
        <v>-4.9133034445808521E-2</v>
      </c>
      <c r="G62" s="687">
        <f t="shared" si="16"/>
        <v>8.7067151169770707E-3</v>
      </c>
      <c r="H62" s="757">
        <f t="shared" ref="H62:H67" si="17">+IFERROR(F62/ABS($D62),"")</f>
        <v>-0.12803334312462414</v>
      </c>
      <c r="I62" s="1052">
        <f t="shared" ref="I62:I67" si="18">+IFERROR(G62/ABS($E62),"")</f>
        <v>2.6714916858225985E-2</v>
      </c>
      <c r="J62" s="1251"/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2">
        <f t="shared" si="18"/>
        <v>0</v>
      </c>
      <c r="J63" s="1252"/>
    </row>
    <row r="64" spans="2:25">
      <c r="B64" s="701" t="s">
        <v>331</v>
      </c>
      <c r="C64" s="683">
        <f>+Print_Mois!$AF$414+Print_Mois!$AF$434</f>
        <v>36613.06</v>
      </c>
      <c r="D64" s="683">
        <f>+Print_Mois!$Z$414+Print_Mois!$Z$434</f>
        <v>32699.577211571261</v>
      </c>
      <c r="E64" s="683">
        <f>+Print_Mois!$AL$414+Print_Mois!$AL$434</f>
        <v>31894.159999999996</v>
      </c>
      <c r="F64" s="684">
        <f t="shared" si="16"/>
        <v>3913.482788428737</v>
      </c>
      <c r="G64" s="685">
        <f t="shared" si="16"/>
        <v>4718.9000000000015</v>
      </c>
      <c r="H64" s="757">
        <f t="shared" si="17"/>
        <v>0.11967992011358144</v>
      </c>
      <c r="I64" s="1052">
        <f t="shared" si="18"/>
        <v>0.14795498611658064</v>
      </c>
      <c r="J64" s="1252"/>
    </row>
    <row r="65" spans="2:25">
      <c r="B65" s="701" t="s">
        <v>347</v>
      </c>
      <c r="C65" s="683">
        <f>+Print_Mois!$AF$452-Print_Mois!$AF$434</f>
        <v>74008.69</v>
      </c>
      <c r="D65" s="683">
        <f>+Print_Mois!$Z$452-Print_Mois!$Z$434</f>
        <v>69920.070126747683</v>
      </c>
      <c r="E65" s="683">
        <f>+Print_Mois!$AL$452-Print_Mois!$AL$434</f>
        <v>65426.57999999998</v>
      </c>
      <c r="F65" s="684">
        <f t="shared" si="16"/>
        <v>4088.6198732523189</v>
      </c>
      <c r="G65" s="685">
        <f t="shared" si="16"/>
        <v>8582.1100000000224</v>
      </c>
      <c r="H65" s="757">
        <f t="shared" si="17"/>
        <v>5.8475626037569312E-2</v>
      </c>
      <c r="I65" s="1052">
        <f t="shared" si="18"/>
        <v>0.13117161251589224</v>
      </c>
      <c r="J65" s="1252"/>
    </row>
    <row r="66" spans="2:25">
      <c r="B66" s="701" t="s">
        <v>346</v>
      </c>
      <c r="C66" s="683">
        <f>+Print_Mois!$AF$415</f>
        <v>28976.94</v>
      </c>
      <c r="D66" s="683">
        <f>+Print_Mois!$Z$415</f>
        <v>36700.725432887681</v>
      </c>
      <c r="E66" s="683">
        <f>+Print_Mois!$AL$415</f>
        <v>44625.990000000005</v>
      </c>
      <c r="F66" s="684">
        <f t="shared" si="16"/>
        <v>-7723.785432887682</v>
      </c>
      <c r="G66" s="685">
        <f t="shared" si="16"/>
        <v>-15649.050000000007</v>
      </c>
      <c r="H66" s="757">
        <f t="shared" si="17"/>
        <v>-0.21045320880677645</v>
      </c>
      <c r="I66" s="1052">
        <f t="shared" si="18"/>
        <v>-0.35067121200000279</v>
      </c>
      <c r="J66" s="1252"/>
    </row>
    <row r="67" spans="2:25">
      <c r="B67" s="703" t="s">
        <v>349</v>
      </c>
      <c r="C67" s="699">
        <f>+Print_Mois!$AF$481-C32-C15</f>
        <v>25981.829999999987</v>
      </c>
      <c r="D67" s="699">
        <f>+Print_Mois!$Z$481-D32-D15</f>
        <v>29648.331720000017</v>
      </c>
      <c r="E67" s="699">
        <f>+Print_Mois!$AL$481-E32-E15</f>
        <v>27619.780000000013</v>
      </c>
      <c r="F67" s="694">
        <f t="shared" si="16"/>
        <v>-3666.5017200000293</v>
      </c>
      <c r="G67" s="695">
        <f t="shared" si="16"/>
        <v>-1637.9500000000262</v>
      </c>
      <c r="H67" s="696">
        <f t="shared" si="17"/>
        <v>-0.1236663753841738</v>
      </c>
      <c r="I67" s="1056">
        <f t="shared" si="18"/>
        <v>-5.9303513641311603E-2</v>
      </c>
      <c r="J67" s="1253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4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157752.72999999998</v>
      </c>
      <c r="D70" s="709">
        <f>+Print_Mois!$Z$419-Print_Mois!$Z$415+Print_Mois!$Z$434+Print_Mois!$Z$435+Print_Mois!$Z$436</f>
        <v>145122.13873922001</v>
      </c>
      <c r="E70" s="709">
        <f>+Print_Mois!$AL$419-Print_Mois!$AL$415+Print_Mois!$AL$434+Print_Mois!$AL$435+Print_Mois!$AL$436</f>
        <v>149926.31999999995</v>
      </c>
      <c r="F70" s="710">
        <f t="shared" ref="F70:G77" si="19">+IFERROR($C70-D70,"")</f>
        <v>12630.591260779969</v>
      </c>
      <c r="G70" s="711">
        <f t="shared" si="19"/>
        <v>7826.4100000000326</v>
      </c>
      <c r="H70" s="686">
        <f t="shared" ref="H70:H77" si="20">+IFERROR(F70/ABS($D70),"")</f>
        <v>8.7034213873299862E-2</v>
      </c>
      <c r="I70" s="1055">
        <f t="shared" ref="I70:I77" si="21">+IFERROR(G70/ABS($E70),"")</f>
        <v>5.2201708145708077E-2</v>
      </c>
      <c r="J70" s="1251"/>
    </row>
    <row r="71" spans="2:25">
      <c r="B71" s="708" t="s">
        <v>1937</v>
      </c>
      <c r="C71" s="702">
        <f>+C70/Print_Mois!$AF$407</f>
        <v>0.26863410597238807</v>
      </c>
      <c r="D71" s="702">
        <f>+D70/Print_Mois!$Z$407</f>
        <v>0.30168429748760101</v>
      </c>
      <c r="E71" s="702">
        <f>+E70/Print_Mois!$AL$407</f>
        <v>0.31814495021035594</v>
      </c>
      <c r="F71" s="686">
        <f t="shared" si="19"/>
        <v>-3.3050191515212934E-2</v>
      </c>
      <c r="G71" s="687">
        <f t="shared" si="19"/>
        <v>-4.9510844237967866E-2</v>
      </c>
      <c r="H71" s="686">
        <f t="shared" si="20"/>
        <v>-0.10955224315767138</v>
      </c>
      <c r="I71" s="1055">
        <f t="shared" si="21"/>
        <v>-0.15562354268150894</v>
      </c>
      <c r="J71" s="1252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325660.85999999993</v>
      </c>
      <c r="D72" s="683">
        <f>+Print_Mois!$Z$466+Print_Mois!$Z$433+Print_Mois!$Z$437+Print_Mois!$Z$439+SUM(Print_Mois!$Z$440:$Z$448)+Print_Mois!$Z$438</f>
        <v>306491.79184279678</v>
      </c>
      <c r="E72" s="683">
        <f>+Print_Mois!$AL$466+Print_Mois!$AL$433+Print_Mois!$AL$437+Print_Mois!$AL$439+SUM(Print_Mois!$AL$440:$AL$448)+Print_Mois!$AL$438</f>
        <v>273728.72999999992</v>
      </c>
      <c r="F72" s="712">
        <f t="shared" si="19"/>
        <v>19169.068157203146</v>
      </c>
      <c r="G72" s="713">
        <f t="shared" si="19"/>
        <v>51932.130000000005</v>
      </c>
      <c r="H72" s="686">
        <f>+IFERROR(F72/ABS($D72),"")</f>
        <v>6.2543496000164289E-2</v>
      </c>
      <c r="I72" s="1055">
        <f t="shared" si="21"/>
        <v>0.18972115203252513</v>
      </c>
      <c r="J72" s="1252"/>
    </row>
    <row r="73" spans="2:25">
      <c r="B73" s="708" t="s">
        <v>1939</v>
      </c>
      <c r="C73" s="702">
        <f>+C72/Print_Mois!$AF$407</f>
        <v>0.55456164832329069</v>
      </c>
      <c r="D73" s="702">
        <f>+D72/Print_Mois!$Z$407</f>
        <v>0.63714441994246451</v>
      </c>
      <c r="E73" s="702">
        <f>+E72/Print_Mois!$AL$407</f>
        <v>0.58085473702678736</v>
      </c>
      <c r="F73" s="686">
        <f t="shared" si="19"/>
        <v>-8.2582771619173823E-2</v>
      </c>
      <c r="G73" s="687">
        <f t="shared" si="19"/>
        <v>-2.629308870349667E-2</v>
      </c>
      <c r="H73" s="686">
        <f t="shared" si="20"/>
        <v>-0.1296138976256454</v>
      </c>
      <c r="I73" s="1055">
        <f t="shared" si="21"/>
        <v>-4.5266203454038645E-2</v>
      </c>
      <c r="J73" s="1252"/>
    </row>
    <row r="74" spans="2:25" s="717" customFormat="1">
      <c r="B74" s="589" t="s">
        <v>1933</v>
      </c>
      <c r="C74" s="581">
        <f>+Print_Mois!$AF$483+Print_Mois!$AF$415</f>
        <v>257183.22999999998</v>
      </c>
      <c r="D74" s="581">
        <f>+Print_Mois!$Z$483+Print_Mois!$Z$415</f>
        <v>204454.04977315394</v>
      </c>
      <c r="E74" s="581">
        <f>+Print_Mois!$AL$483+Print_Mois!$AL$415</f>
        <v>212202.75999999972</v>
      </c>
      <c r="F74" s="582">
        <f t="shared" si="19"/>
        <v>52729.180226846045</v>
      </c>
      <c r="G74" s="583">
        <f t="shared" si="19"/>
        <v>44980.470000000263</v>
      </c>
      <c r="H74" s="793">
        <f t="shared" si="20"/>
        <v>0.25790235158144426</v>
      </c>
      <c r="I74" s="1060">
        <f t="shared" si="21"/>
        <v>0.21196929766606393</v>
      </c>
      <c r="J74" s="1252"/>
      <c r="N74" s="1166"/>
      <c r="O74" s="1166"/>
      <c r="P74" s="1166"/>
      <c r="Q74" s="1166"/>
      <c r="R74" s="1166"/>
      <c r="S74" s="1166"/>
      <c r="T74" s="1166"/>
      <c r="U74" s="1166"/>
      <c r="V74" s="1166"/>
      <c r="W74" s="1166"/>
      <c r="X74" s="1166"/>
      <c r="Y74" s="1166"/>
    </row>
    <row r="75" spans="2:25">
      <c r="B75" s="561" t="s">
        <v>1940</v>
      </c>
      <c r="C75" s="714">
        <f>+C74/Print_Mois!$AF$406</f>
        <v>5.3756153944688558E-2</v>
      </c>
      <c r="D75" s="714">
        <f>+D74/Print_Mois!$Z$406</f>
        <v>3.7176676724772914E-2</v>
      </c>
      <c r="E75" s="714">
        <f>+E74/Print_Mois!$AL$406</f>
        <v>4.1314144571049871E-2</v>
      </c>
      <c r="F75" s="724">
        <f t="shared" si="19"/>
        <v>1.6579477219915643E-2</v>
      </c>
      <c r="G75" s="725">
        <f t="shared" si="19"/>
        <v>1.2442009373638686E-2</v>
      </c>
      <c r="H75" s="757">
        <f t="shared" si="20"/>
        <v>0.44596447774654918</v>
      </c>
      <c r="I75" s="1052">
        <f t="shared" si="21"/>
        <v>0.30115616583181531</v>
      </c>
      <c r="J75" s="1252"/>
    </row>
    <row r="76" spans="2:25" s="717" customFormat="1">
      <c r="B76" s="589" t="s">
        <v>1934</v>
      </c>
      <c r="C76" s="581">
        <f>+Print_Mois!$AF$498</f>
        <v>211453.83</v>
      </c>
      <c r="D76" s="581">
        <f>+Print_Mois!$Z$498</f>
        <v>151000.86532387283</v>
      </c>
      <c r="E76" s="581">
        <f>+Print_Mois!$AL$498</f>
        <v>153682.17999999973</v>
      </c>
      <c r="F76" s="582">
        <f t="shared" si="19"/>
        <v>60452.964676127158</v>
      </c>
      <c r="G76" s="583">
        <f t="shared" si="19"/>
        <v>57771.650000000256</v>
      </c>
      <c r="H76" s="793">
        <f t="shared" si="20"/>
        <v>0.40034846519895873</v>
      </c>
      <c r="I76" s="1060">
        <f t="shared" si="21"/>
        <v>0.37591638796378574</v>
      </c>
      <c r="J76" s="1252"/>
      <c r="N76" s="1166"/>
      <c r="O76" s="1166"/>
      <c r="P76" s="1166"/>
      <c r="Q76" s="1166"/>
      <c r="R76" s="1166"/>
      <c r="S76" s="1166"/>
      <c r="T76" s="1166"/>
      <c r="U76" s="1166"/>
      <c r="V76" s="1166"/>
      <c r="W76" s="1166"/>
      <c r="X76" s="1166"/>
      <c r="Y76" s="1166"/>
    </row>
    <row r="77" spans="2:25">
      <c r="B77" s="715" t="s">
        <v>1941</v>
      </c>
      <c r="C77" s="716">
        <f>+C76/Print_Mois!$AF$406</f>
        <v>4.4197845394795002E-2</v>
      </c>
      <c r="D77" s="716">
        <f>+D76/Print_Mois!$Z$406</f>
        <v>2.7457075863917206E-2</v>
      </c>
      <c r="E77" s="716">
        <f>+E76/Print_Mois!$AL$406</f>
        <v>2.9920665511203086E-2</v>
      </c>
      <c r="F77" s="726">
        <f t="shared" si="19"/>
        <v>1.6740769530877796E-2</v>
      </c>
      <c r="G77" s="727">
        <f t="shared" si="19"/>
        <v>1.4277179883591916E-2</v>
      </c>
      <c r="H77" s="761">
        <f t="shared" si="20"/>
        <v>0.60970693360969752</v>
      </c>
      <c r="I77" s="1062">
        <f t="shared" si="21"/>
        <v>0.47716785839025416</v>
      </c>
      <c r="J77" s="125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36"/>
  <sheetViews>
    <sheetView showGridLines="0" topLeftCell="A13" workbookViewId="0">
      <selection activeCell="K27" sqref="K27"/>
    </sheetView>
  </sheetViews>
  <sheetFormatPr baseColWidth="10" defaultColWidth="11" defaultRowHeight="14.25"/>
  <cols>
    <col min="1" max="1" width="11" style="1041"/>
    <col min="2" max="2" width="19.875" style="1041" customWidth="1"/>
    <col min="3" max="4" width="12.625" style="1042" bestFit="1" customWidth="1"/>
    <col min="5" max="5" width="11" style="1041" customWidth="1"/>
    <col min="6" max="6" width="12.625" style="1041" bestFit="1" customWidth="1"/>
    <col min="7" max="9" width="11" style="1041" customWidth="1"/>
    <col min="10" max="16384" width="11" style="1041"/>
  </cols>
  <sheetData>
    <row r="2" spans="2:9" ht="15" customHeight="1"/>
    <row r="3" spans="2:9" ht="21" customHeight="1">
      <c r="B3" s="1142" t="s">
        <v>1068</v>
      </c>
      <c r="C3" s="1143" t="s">
        <v>2945</v>
      </c>
      <c r="D3" s="1144" t="s">
        <v>2932</v>
      </c>
      <c r="E3" s="1143" t="s">
        <v>2904</v>
      </c>
    </row>
    <row r="4" spans="2:9" ht="21" customHeight="1">
      <c r="B4" s="1145" t="s">
        <v>2946</v>
      </c>
      <c r="C4" s="1146">
        <f>Print_Mois!AF498</f>
        <v>211453.83</v>
      </c>
      <c r="D4" s="1147">
        <v>301097</v>
      </c>
      <c r="E4" s="1146">
        <f>Print_AAD!AF498</f>
        <v>184779.09000000052</v>
      </c>
    </row>
    <row r="5" spans="2:9" ht="21" customHeight="1">
      <c r="B5" s="1145" t="s">
        <v>2947</v>
      </c>
      <c r="C5" s="1146">
        <f>Print_Mois!Z498</f>
        <v>151000.86532387283</v>
      </c>
      <c r="D5" s="1147">
        <v>193603</v>
      </c>
      <c r="E5" s="1146">
        <f>Print_AAD!Z498</f>
        <v>7797.8580056632454</v>
      </c>
    </row>
    <row r="6" spans="2:9" ht="21" customHeight="1">
      <c r="B6" s="1175" t="s">
        <v>2869</v>
      </c>
      <c r="C6" s="1150">
        <f>Print_Mois!AL498</f>
        <v>153682.17999999973</v>
      </c>
      <c r="D6" s="1148">
        <v>152761</v>
      </c>
      <c r="E6" s="1150">
        <f>Print_AAD!AL498</f>
        <v>102319.0499999988</v>
      </c>
    </row>
    <row r="7" spans="2:9" ht="21.6" customHeight="1">
      <c r="B7" s="1149" t="s">
        <v>2870</v>
      </c>
      <c r="C7" s="1150">
        <f>Print_Mois!AF505</f>
        <v>213594</v>
      </c>
      <c r="D7" s="1148"/>
      <c r="E7" s="1150"/>
    </row>
    <row r="8" spans="2:9" ht="15" thickBot="1"/>
    <row r="9" spans="2:9" ht="21" thickBot="1">
      <c r="C9" s="1255" t="str">
        <f>Parametres!B3</f>
        <v>Avril</v>
      </c>
      <c r="D9" s="1256"/>
      <c r="E9" s="1256"/>
      <c r="F9" s="1256"/>
      <c r="G9" s="1256"/>
      <c r="H9" s="1256"/>
      <c r="I9" s="1257"/>
    </row>
    <row r="10" spans="2:9" s="1196" customFormat="1" ht="30.75" thickBot="1">
      <c r="C10" s="1197" t="s">
        <v>2953</v>
      </c>
      <c r="D10" s="1197" t="s">
        <v>2870</v>
      </c>
      <c r="E10" s="1212" t="s">
        <v>2956</v>
      </c>
      <c r="F10" s="1198" t="s">
        <v>6</v>
      </c>
      <c r="G10" s="1212" t="s">
        <v>2957</v>
      </c>
      <c r="H10" s="1198">
        <v>2024</v>
      </c>
      <c r="I10" s="1212" t="s">
        <v>2958</v>
      </c>
    </row>
    <row r="11" spans="2:9" s="1196" customFormat="1">
      <c r="B11" s="1201" t="s">
        <v>2964</v>
      </c>
      <c r="C11" s="1203">
        <f>Print_Mois!J27</f>
        <v>29</v>
      </c>
      <c r="D11" s="1204">
        <f>Print_Mois!W28</f>
        <v>29</v>
      </c>
      <c r="E11" s="1213">
        <f t="shared" ref="E11:E20" si="0">C11-D11</f>
        <v>0</v>
      </c>
      <c r="F11" s="1205">
        <f>Print_Mois!D27</f>
        <v>33</v>
      </c>
      <c r="G11" s="1213">
        <f t="shared" ref="G11:G12" si="1">C11-F11</f>
        <v>-4</v>
      </c>
      <c r="H11" s="1206">
        <f>Print_Mois!O27</f>
        <v>30</v>
      </c>
      <c r="I11" s="1213">
        <f t="shared" ref="I11:I20" si="2">C11-H11</f>
        <v>-1</v>
      </c>
    </row>
    <row r="12" spans="2:9" s="1196" customFormat="1" ht="15" thickBot="1">
      <c r="B12" s="1202" t="s">
        <v>2965</v>
      </c>
      <c r="C12" s="1207">
        <f>Print_Mois!J97</f>
        <v>22</v>
      </c>
      <c r="D12" s="1208">
        <f>Print_Mois!W109</f>
        <v>23</v>
      </c>
      <c r="E12" s="1214">
        <f t="shared" si="0"/>
        <v>-1</v>
      </c>
      <c r="F12" s="1209">
        <f>Print_Mois!D97</f>
        <v>27</v>
      </c>
      <c r="G12" s="1214">
        <f t="shared" si="1"/>
        <v>-5</v>
      </c>
      <c r="H12" s="1210">
        <f>Print_Mois!O97</f>
        <v>28</v>
      </c>
      <c r="I12" s="1214">
        <f t="shared" si="2"/>
        <v>-6</v>
      </c>
    </row>
    <row r="13" spans="2:9">
      <c r="B13" s="1184" t="s">
        <v>2950</v>
      </c>
      <c r="C13" s="1187">
        <f>Print_Mois!L27</f>
        <v>204148.4599999999</v>
      </c>
      <c r="D13" s="1187">
        <f>Print_Mois!W27</f>
        <v>185250</v>
      </c>
      <c r="E13" s="1215">
        <f t="shared" si="0"/>
        <v>18898.459999999905</v>
      </c>
      <c r="F13" s="1188">
        <f>Print_Mois!F27</f>
        <v>174530.01239411984</v>
      </c>
      <c r="G13" s="1215">
        <f>C13-F13</f>
        <v>29618.447605880065</v>
      </c>
      <c r="H13" s="1188">
        <f>Print_Mois!Q27</f>
        <v>196245.62000000011</v>
      </c>
      <c r="I13" s="1215">
        <f t="shared" si="2"/>
        <v>7902.8399999997928</v>
      </c>
    </row>
    <row r="14" spans="2:9">
      <c r="B14" s="1184" t="s">
        <v>2951</v>
      </c>
      <c r="C14" s="1187">
        <f>Print_Mois!L108</f>
        <v>108471.51999999999</v>
      </c>
      <c r="D14" s="1187">
        <f>Print_Mois!W108</f>
        <v>104700</v>
      </c>
      <c r="E14" s="1215">
        <f t="shared" si="0"/>
        <v>3771.5199999999895</v>
      </c>
      <c r="F14" s="1188">
        <f>Print_Mois!F108</f>
        <v>96500</v>
      </c>
      <c r="G14" s="1215">
        <f t="shared" ref="G14:G20" si="3">C14-F14</f>
        <v>11971.51999999999</v>
      </c>
      <c r="H14" s="1188">
        <f>Print_Mois!Q108</f>
        <v>81721.029999999766</v>
      </c>
      <c r="I14" s="1215">
        <f t="shared" si="2"/>
        <v>26750.490000000224</v>
      </c>
    </row>
    <row r="15" spans="2:9">
      <c r="B15" s="1184" t="s">
        <v>2954</v>
      </c>
      <c r="C15" s="1187">
        <f>Print_Mois!L194</f>
        <v>154530.53999999998</v>
      </c>
      <c r="D15" s="1187">
        <f>Print_Mois!W194</f>
        <v>157460</v>
      </c>
      <c r="E15" s="1215">
        <f t="shared" si="0"/>
        <v>-2929.460000000021</v>
      </c>
      <c r="F15" s="1188">
        <f>Print_Mois!F194</f>
        <v>123216.24395686536</v>
      </c>
      <c r="G15" s="1215">
        <f t="shared" si="3"/>
        <v>31314.296043134615</v>
      </c>
      <c r="H15" s="1188">
        <f>Print_Mois!Q194+Print_Mois!Q250</f>
        <v>110032.87</v>
      </c>
      <c r="I15" s="1215">
        <f t="shared" si="2"/>
        <v>44497.669999999984</v>
      </c>
    </row>
    <row r="16" spans="2:9" ht="15" thickBot="1">
      <c r="B16" s="1184" t="s">
        <v>2955</v>
      </c>
      <c r="C16" s="1187">
        <f>+Print_Mois!L314</f>
        <v>120089.62000000001</v>
      </c>
      <c r="D16" s="1187">
        <f>Print_Mois!W314</f>
        <v>111797</v>
      </c>
      <c r="E16" s="1215">
        <f t="shared" si="0"/>
        <v>8292.6200000000099</v>
      </c>
      <c r="F16" s="1188">
        <f>+Print_Mois!F314</f>
        <v>86793.492644185477</v>
      </c>
      <c r="G16" s="1215">
        <f t="shared" si="3"/>
        <v>33296.127355814533</v>
      </c>
      <c r="H16" s="1188">
        <f>+Print_Mois!Q314</f>
        <v>83252.089999999705</v>
      </c>
      <c r="I16" s="1215">
        <f t="shared" si="2"/>
        <v>36837.530000000304</v>
      </c>
    </row>
    <row r="17" spans="2:9" ht="15" thickTop="1">
      <c r="B17" s="1192" t="s">
        <v>2952</v>
      </c>
      <c r="C17" s="1193">
        <f>SUM(C13:C16)</f>
        <v>587240.1399999999</v>
      </c>
      <c r="D17" s="1193">
        <f>SUM(D13:D16)</f>
        <v>559207</v>
      </c>
      <c r="E17" s="1216">
        <f>C17-D17</f>
        <v>28033.139999999898</v>
      </c>
      <c r="F17" s="1194">
        <f>SUM(F13:F16)</f>
        <v>481039.74899517075</v>
      </c>
      <c r="G17" s="1216">
        <f t="shared" si="3"/>
        <v>106200.39100482914</v>
      </c>
      <c r="H17" s="1194">
        <f>SUM(H13:H16)</f>
        <v>471251.60999999964</v>
      </c>
      <c r="I17" s="1216">
        <f t="shared" si="2"/>
        <v>115988.53000000026</v>
      </c>
    </row>
    <row r="18" spans="2:9">
      <c r="B18" s="1184" t="s">
        <v>2949</v>
      </c>
      <c r="C18" s="1187">
        <f>Print_Mois!AF481</f>
        <v>153356.68</v>
      </c>
      <c r="D18" s="1187">
        <f>Print_Mois!AR481</f>
        <v>158000</v>
      </c>
      <c r="E18" s="1215">
        <f t="shared" si="0"/>
        <v>-4643.320000000007</v>
      </c>
      <c r="F18" s="1188">
        <f>Print_Mois!Z481</f>
        <v>175028.23136000001</v>
      </c>
      <c r="G18" s="1215">
        <f t="shared" si="3"/>
        <v>-21671.551360000012</v>
      </c>
      <c r="H18" s="1188">
        <f>Print_Mois!AL481</f>
        <v>164606.20000000001</v>
      </c>
      <c r="I18" s="1215">
        <f t="shared" si="2"/>
        <v>-11249.520000000019</v>
      </c>
    </row>
    <row r="19" spans="2:9">
      <c r="B19" s="1184" t="s">
        <v>2948</v>
      </c>
      <c r="C19" s="1187">
        <f>-Print_Mois!AF468+Print_Mois!AF415</f>
        <v>-483413.58999999991</v>
      </c>
      <c r="D19" s="1187">
        <f>-Print_Mois!AR468</f>
        <v>-450159</v>
      </c>
      <c r="E19" s="1215">
        <f t="shared" si="0"/>
        <v>-33254.589999999909</v>
      </c>
      <c r="F19" s="1188">
        <f>-Print_Mois!Z468+Print_Mois!Z415</f>
        <v>-451613.93058201682</v>
      </c>
      <c r="G19" s="1215">
        <f t="shared" si="3"/>
        <v>-31799.659417983086</v>
      </c>
      <c r="H19" s="1188">
        <f>-Print_Mois!AL468+Print_Mois!AL415</f>
        <v>-423655.04999999993</v>
      </c>
      <c r="I19" s="1215">
        <f t="shared" si="2"/>
        <v>-59758.539999999979</v>
      </c>
    </row>
    <row r="20" spans="2:9" ht="15" thickBot="1">
      <c r="B20" s="1184" t="s">
        <v>2968</v>
      </c>
      <c r="C20" s="1187">
        <f>-SUM(Print_Mois!AF491:AF497)-Print_Mois!AF415</f>
        <v>-45729.399999999994</v>
      </c>
      <c r="D20" s="1187">
        <f>-Print_Mois!AR498</f>
        <v>-53453</v>
      </c>
      <c r="E20" s="1215">
        <f t="shared" si="0"/>
        <v>7723.6000000000058</v>
      </c>
      <c r="F20" s="1188">
        <f>-SUM(Print_Mois!Z491:Z497)-Print_Mois!Z415</f>
        <v>-53453.184449281121</v>
      </c>
      <c r="G20" s="1215">
        <f t="shared" si="3"/>
        <v>7723.7844492811273</v>
      </c>
      <c r="H20" s="1188">
        <f>-SUM(Print_Mois!AL491:AL497)-Print_Mois!AL415</f>
        <v>-58520.58</v>
      </c>
      <c r="I20" s="1215">
        <f t="shared" si="2"/>
        <v>12791.180000000008</v>
      </c>
    </row>
    <row r="21" spans="2:9" ht="16.5" thickTop="1" thickBot="1">
      <c r="B21" s="1189" t="s">
        <v>2827</v>
      </c>
      <c r="C21" s="1190">
        <f t="shared" ref="C21:I21" si="4">SUM(C17:C20)</f>
        <v>211453.82999999993</v>
      </c>
      <c r="D21" s="1190">
        <f t="shared" si="4"/>
        <v>213595</v>
      </c>
      <c r="E21" s="1218">
        <f t="shared" si="4"/>
        <v>-2141.1700000000128</v>
      </c>
      <c r="F21" s="1191">
        <f t="shared" si="4"/>
        <v>151000.86532387283</v>
      </c>
      <c r="G21" s="1218">
        <f t="shared" si="4"/>
        <v>60452.964676127172</v>
      </c>
      <c r="H21" s="1191">
        <f t="shared" si="4"/>
        <v>153682.17999999964</v>
      </c>
      <c r="I21" s="1218">
        <f t="shared" si="4"/>
        <v>57771.650000000271</v>
      </c>
    </row>
    <row r="23" spans="2:9" ht="15" thickBot="1"/>
    <row r="24" spans="2:9" ht="21" thickBot="1">
      <c r="C24" s="1255" t="str">
        <f>CONCATENATE("Année à date ",Parametres!B3)</f>
        <v>Année à date Avril</v>
      </c>
      <c r="D24" s="1256"/>
      <c r="E24" s="1256"/>
      <c r="F24" s="1256"/>
      <c r="G24" s="1257"/>
    </row>
    <row r="25" spans="2:9" ht="30.75" thickBot="1">
      <c r="B25" s="1196"/>
      <c r="C25" s="1197" t="s">
        <v>2966</v>
      </c>
      <c r="D25" s="1197" t="s">
        <v>2969</v>
      </c>
      <c r="E25" s="1212" t="s">
        <v>2957</v>
      </c>
      <c r="F25" s="1198" t="s">
        <v>2970</v>
      </c>
      <c r="G25" s="1212" t="s">
        <v>2958</v>
      </c>
    </row>
    <row r="26" spans="2:9">
      <c r="B26" s="1201" t="s">
        <v>2964</v>
      </c>
      <c r="C26" s="1203">
        <f>Print_AAD!J27</f>
        <v>79</v>
      </c>
      <c r="D26" s="1205">
        <f>Print_AAD!D27</f>
        <v>87</v>
      </c>
      <c r="E26" s="1213">
        <f t="shared" ref="E26:E35" si="5">C26-D26</f>
        <v>-8</v>
      </c>
      <c r="F26" s="1206">
        <f>Print_AAD!O27</f>
        <v>69</v>
      </c>
      <c r="G26" s="1213">
        <f t="shared" ref="G26:G35" si="6">C26-F26</f>
        <v>10</v>
      </c>
    </row>
    <row r="27" spans="2:9" ht="15" thickBot="1">
      <c r="B27" s="1202" t="s">
        <v>2965</v>
      </c>
      <c r="C27" s="1207">
        <f>Print_AAD!J97</f>
        <v>66</v>
      </c>
      <c r="D27" s="1209">
        <f>Print_AAD!D97</f>
        <v>72</v>
      </c>
      <c r="E27" s="1214">
        <f t="shared" si="5"/>
        <v>-6</v>
      </c>
      <c r="F27" s="1210">
        <f>Print_AAD!O97</f>
        <v>67</v>
      </c>
      <c r="G27" s="1214">
        <f t="shared" si="6"/>
        <v>-1</v>
      </c>
    </row>
    <row r="28" spans="2:9">
      <c r="B28" s="1183" t="s">
        <v>2950</v>
      </c>
      <c r="C28" s="1185">
        <f>Print_AAD!L27</f>
        <v>486067.36000000028</v>
      </c>
      <c r="D28" s="1185">
        <f>Print_AAD!F27</f>
        <v>462960.49384481402</v>
      </c>
      <c r="E28" s="1217">
        <f t="shared" si="5"/>
        <v>23106.866155186261</v>
      </c>
      <c r="F28" s="1186">
        <f>Print_AAD!Q27</f>
        <v>450058.79999999958</v>
      </c>
      <c r="G28" s="1217">
        <f t="shared" si="6"/>
        <v>36008.560000000696</v>
      </c>
    </row>
    <row r="29" spans="2:9">
      <c r="B29" s="1184" t="s">
        <v>2951</v>
      </c>
      <c r="C29" s="1187">
        <f>Print_AAD!L108</f>
        <v>255924.40000000011</v>
      </c>
      <c r="D29" s="1187">
        <f>Print_AAD!F108</f>
        <v>258150</v>
      </c>
      <c r="E29" s="1215">
        <f t="shared" si="5"/>
        <v>-2225.5999999998894</v>
      </c>
      <c r="F29" s="1188">
        <f>Print_AAD!Q108</f>
        <v>238776.13999999964</v>
      </c>
      <c r="G29" s="1215">
        <f t="shared" si="6"/>
        <v>17148.260000000475</v>
      </c>
    </row>
    <row r="30" spans="2:9">
      <c r="B30" s="1184" t="s">
        <v>2954</v>
      </c>
      <c r="C30" s="1187">
        <f>Print_AAD!L194</f>
        <v>415197.64</v>
      </c>
      <c r="D30" s="1187">
        <f>Print_AAD!F194</f>
        <v>321645.89337400056</v>
      </c>
      <c r="E30" s="1215">
        <f t="shared" si="5"/>
        <v>93551.746625999454</v>
      </c>
      <c r="F30" s="1188">
        <f>Print_AAD!Q194+Print_AAD!Q250</f>
        <v>279019.27999999985</v>
      </c>
      <c r="G30" s="1215">
        <f t="shared" si="6"/>
        <v>136178.36000000016</v>
      </c>
    </row>
    <row r="31" spans="2:9" ht="15" thickBot="1">
      <c r="B31" s="1184" t="s">
        <v>2955</v>
      </c>
      <c r="C31" s="1187">
        <f>Print_AAD!L314</f>
        <v>366912.84</v>
      </c>
      <c r="D31" s="1187">
        <f>Print_AAD!F314</f>
        <v>307639.55734939716</v>
      </c>
      <c r="E31" s="1215">
        <f t="shared" si="5"/>
        <v>59273.282650602865</v>
      </c>
      <c r="F31" s="1188">
        <f>Print_AAD!Q314</f>
        <v>292894.39999999956</v>
      </c>
      <c r="G31" s="1215">
        <f t="shared" si="6"/>
        <v>74018.440000000468</v>
      </c>
    </row>
    <row r="32" spans="2:9" ht="15" thickTop="1">
      <c r="B32" s="1192" t="s">
        <v>2952</v>
      </c>
      <c r="C32" s="1193">
        <f>SUM(C28:C31)</f>
        <v>1524102.2400000005</v>
      </c>
      <c r="D32" s="1193">
        <f>SUM(D28:D31)</f>
        <v>1350395.9445682117</v>
      </c>
      <c r="E32" s="1216">
        <f t="shared" si="5"/>
        <v>173706.29543178878</v>
      </c>
      <c r="F32" s="1194">
        <f>SUM(F28:F31)</f>
        <v>1260748.6199999987</v>
      </c>
      <c r="G32" s="1216">
        <f t="shared" si="6"/>
        <v>263353.62000000174</v>
      </c>
    </row>
    <row r="33" spans="2:7">
      <c r="B33" s="1184" t="s">
        <v>2949</v>
      </c>
      <c r="C33" s="1187">
        <f>Print_AAD!AF481</f>
        <v>477056.17</v>
      </c>
      <c r="D33" s="1187">
        <f>Print_AAD!Z481</f>
        <v>462353.8985854545</v>
      </c>
      <c r="E33" s="1215">
        <f t="shared" si="5"/>
        <v>14702.271414545481</v>
      </c>
      <c r="F33" s="1188">
        <f>Print_AAD!AL481</f>
        <v>557138.71</v>
      </c>
      <c r="G33" s="1215">
        <f t="shared" si="6"/>
        <v>-80082.539999999979</v>
      </c>
    </row>
    <row r="34" spans="2:7">
      <c r="B34" s="1184" t="s">
        <v>2948</v>
      </c>
      <c r="C34" s="1187">
        <f>-Print_AAD!AF468+Print_AAD!AF415</f>
        <v>-1639110.45</v>
      </c>
      <c r="D34" s="1187">
        <f>-Print_AAD!Z468+Print_AAD!Z415</f>
        <v>-1605613.0639179035</v>
      </c>
      <c r="E34" s="1215">
        <f t="shared" si="5"/>
        <v>-33497.386082096491</v>
      </c>
      <c r="F34" s="1188">
        <f>-Print_AAD!AL468+Print_AAD!AL415</f>
        <v>-1498889.4899999998</v>
      </c>
      <c r="G34" s="1215">
        <f t="shared" si="6"/>
        <v>-140220.9600000002</v>
      </c>
    </row>
    <row r="35" spans="2:7" ht="15" thickBot="1">
      <c r="B35" s="1184" t="s">
        <v>2968</v>
      </c>
      <c r="C35" s="1187">
        <f>-Print_AAD!AF491-Print_AAD!AF496-Print_AAD!AF415</f>
        <v>-177268.87</v>
      </c>
      <c r="D35" s="1187">
        <f>-Print_AAD!Z491-Print_AAD!Z496-Print_AAD!Z415</f>
        <v>-199338.92123009957</v>
      </c>
      <c r="E35" s="1215">
        <f t="shared" si="5"/>
        <v>22070.051230099576</v>
      </c>
      <c r="F35" s="1188">
        <f>-Print_AAD!AL491-Print_AAD!AL496-Print_AAD!AL415</f>
        <v>-216678.79</v>
      </c>
      <c r="G35" s="1215">
        <f t="shared" si="6"/>
        <v>39409.920000000013</v>
      </c>
    </row>
    <row r="36" spans="2:7" ht="16.5" thickTop="1" thickBot="1">
      <c r="B36" s="1189" t="s">
        <v>2827</v>
      </c>
      <c r="C36" s="1190">
        <f t="shared" ref="C36:G36" si="7">SUM(C32:C35)</f>
        <v>184779.09000000043</v>
      </c>
      <c r="D36" s="1190">
        <f t="shared" si="7"/>
        <v>7797.8580056632054</v>
      </c>
      <c r="E36" s="1218">
        <f t="shared" si="7"/>
        <v>176981.23199433734</v>
      </c>
      <c r="F36" s="1191">
        <f t="shared" si="7"/>
        <v>102319.04999999891</v>
      </c>
      <c r="G36" s="1218">
        <f t="shared" si="7"/>
        <v>82460.04000000158</v>
      </c>
    </row>
  </sheetData>
  <mergeCells count="2">
    <mergeCell ref="C9:I9"/>
    <mergeCell ref="C24:G24"/>
  </mergeCells>
  <pageMargins left="0.7" right="0.7" top="0.75" bottom="0.75" header="0.3" footer="0.3"/>
  <pageSetup orientation="portrait" r:id="rId1"/>
  <ignoredErrors>
    <ignoredError sqref="F11:F12 E17 G17 H11:H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2025-05-09T12:44:36Z</cp:lastPrinted>
  <dcterms:created xsi:type="dcterms:W3CDTF">2020-10-20T13:57:48Z</dcterms:created>
  <dcterms:modified xsi:type="dcterms:W3CDTF">2025-05-09T17:50:37Z</dcterms:modified>
</cp:coreProperties>
</file>