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474A3389-A11D-4C83-916C-B605548EEC56}" xr6:coauthVersionLast="47" xr6:coauthVersionMax="47" xr10:uidLastSave="{00000000-0000-0000-0000-000000000000}"/>
  <bookViews>
    <workbookView xWindow="28680" yWindow="-120" windowWidth="29040" windowHeight="15720" tabRatio="878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E3" i="2" l="1"/>
  <c r="AS480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Z496" i="3" l="1"/>
  <c r="S5" i="23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23" i="28" s="1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E22" i="2" l="1"/>
  <c r="L113" i="3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N75" i="3" l="1"/>
  <c r="AF471" i="3"/>
  <c r="AF437" i="3"/>
  <c r="AF445" i="3"/>
  <c r="AF442" i="3"/>
  <c r="AF439" i="3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S71" i="3"/>
  <c r="AH439" i="3"/>
  <c r="AI439" i="3" s="1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<sst xmlns="http://schemas.openxmlformats.org/spreadsheetml/2006/main" count="18309" uniqueCount="3021">
  <si>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</si>
  <si>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</si>
  <si>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</si>
  <si>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</si>
  <si>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</si>
  <si>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</si>
  <si>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</si>
  <si>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</si>
  <si>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</si>
  <si>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</si>
  <si>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</si>
  <si>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</si>
  <si>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</si>
  <si>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</si>
  <si>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</si>
  <si>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</si>
  <si>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</si>
  <si>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</si>
  <si>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</si>
  <si>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</si>
  <si>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</si>
  <si>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</si>
  <si>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</si>
  <si>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</si>
  <si>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</si>
  <si>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</si>
  <si>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</si>
  <si>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</si>
  <si>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</si>
  <si>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</si>
  <si>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</si>
  <si>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</si>
  <si>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</si>
  <si>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</si>
  <si>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</si>
  <si>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</si>
  <si>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</si>
  <si>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</si>
  <si>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</si>
  <si>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</si>
  <si>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</si>
  <si>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</si>
  <si>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</si>
  <si>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</si>
  <si>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</si>
  <si>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</si>
  <si>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</si>
  <si>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</si>
  <si>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</si>
  <si>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</si>
  <si>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</si>
  <si>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</si>
  <si>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</si>
  <si>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</si>
  <si>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</si>
  <si>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</si>
  <si>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</si>
  <si>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</si>
  <si>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</si>
  <si>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</si>
  <si>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</si>
  <si>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</si>
  <si>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</si>
  <si>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</si>
  <si>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</si>
  <si>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</si>
  <si>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</si>
  <si>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</si>
  <si>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</si>
  <si>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</si>
  <si>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</si>
  <si>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</si>
  <si>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</si>
  <si>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</si>
  <si>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</si>
  <si>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</si>
  <si>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</si>
  <si>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</si>
  <si>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</si>
  <si>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</si>
  <si>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</si>
  <si>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</si>
  <si>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</si>
  <si>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</si>
  <si>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</si>
  <si>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</si>
  <si>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</si>
  <si>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</si>
  <si>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</si>
  <si>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</si>
  <si>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</si>
  <si>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</si>
  <si>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</si>
  <si>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</si>
  <si>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</si>
  <si>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</si>
  <si>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</si>
  <si>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</si>
  <si>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</si>
  <si>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</si>
  <si>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</si>
  <si>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</si>
  <si>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</si>
  <si>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</si>
  <si>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</si>
  <si>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</si>
  <si>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</si>
  <si>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</si>
  <si>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</si>
  <si>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</si>
  <si>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</si>
  <si>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</si>
  <si>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</si>
  <si>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</si>
  <si>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</si>
  <si>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</si>
  <si>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</si>
  <si>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</si>
  <si>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</si>
  <si>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</si>
  <si>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</si>
  <si>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</si>
  <si>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</si>
  <si>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</si>
  <si>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</si>
  <si>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</si>
  <si>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</si>
  <si>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</si>
  <si>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</si>
  <si>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</si>
  <si>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</si>
  <si>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</si>
  <si>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</si>
  <si>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</si>
  <si>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</si>
  <si>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</si>
  <si>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</si>
  <si>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</si>
  <si>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</si>
  <si>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</si>
  <si>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</si>
  <si>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</si>
  <si>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</si>
  <si>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</si>
  <si>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</si>
  <si>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</si>
  <si>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</si>
  <si>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</si>
  <si>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</si>
  <si>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</si>
  <si>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</si>
  <si>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</si>
  <si>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</si>
  <si>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</si>
  <si>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</si>
  <si>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</si>
  <si>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</si>
  <si>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</si>
  <si>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</si>
  <si>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</si>
  <si>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</si>
  <si>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</si>
  <si>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</si>
  <si>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</si>
  <si>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</si>
  <si>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</si>
  <si>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</si>
  <si>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</si>
  <si>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</si>
  <si>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</si>
  <si>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</si>
  <si>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</si>
  <si>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</si>
  <si>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</si>
  <si>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</si>
  <si>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</si>
  <si>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</si>
  <si>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</si>
  <si>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</si>
  <si>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</si>
  <si>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</si>
  <si>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</si>
  <si>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</si>
  <si>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</si>
  <si>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</si>
  <si>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</si>
  <si>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</si>
  <si>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</si>
  <si>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</si>
  <si>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</si>
  <si>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</si>
  <si>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</si>
  <si>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</si>
  <si>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</si>
  <si>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</si>
  <si>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</si>
  <si>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</si>
  <si>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</si>
  <si>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</si>
  <si>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</si>
  <si>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</si>
  <si>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</si>
  <si>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</si>
  <si>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</si>
  <si>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</si>
  <si>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</si>
  <si>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</si>
  <si>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</si>
  <si>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</si>
  <si>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</si>
  <si>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</si>
  <si>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</si>
  <si>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</si>
  <si>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</si>
  <si>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</si>
  <si>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</si>
  <si>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</si>
  <si>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</si>
  <si>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</si>
  <si>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</si>
  <si>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</si>
  <si>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</si>
  <si>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</si>
  <si>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</si>
  <si>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</si>
  <si>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</si>
  <si>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</si>
  <si>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</si>
  <si>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</si>
  <si>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</si>
  <si>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</si>
  <si>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</si>
  <si>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</si>
  <si>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</si>
  <si>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</si>
  <si>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</si>
  <si>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</si>
  <si>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</si>
  <si>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</si>
  <si>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</si>
  <si>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</si>
  <si>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</si>
  <si>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</si>
  <si>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</si>
  <si>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</si>
  <si>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</si>
  <si>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</si>
  <si>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</si>
  <si>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</si>
  <si>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</si>
  <si>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</si>
  <si>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</si>
  <si>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</si>
  <si>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</si>
  <si>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</si>
  <si>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</si>
  <si>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</si>
  <si>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</si>
  <si>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</si>
  <si>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</si>
  <si>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</si>
  <si>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</si>
  <si>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</si>
  <si>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</si>
  <si>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</si>
  <si>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</si>
  <si>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</si>
  <si>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</si>
  <si>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</si>
  <si>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</si>
  <si>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</si>
  <si>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</si>
  <si>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</si>
  <si>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</si>
  <si>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</si>
  <si>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</si>
  <si>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</si>
  <si>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</si>
  <si>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</si>
  <si>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</si>
  <si>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</si>
  <si>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</si>
  <si>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</si>
  <si>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</si>
  <si>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</si>
  <si>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</si>
  <si>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</si>
  <si>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</si>
  <si>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</si>
  <si>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</si>
  <si>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</si>
  <si>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</si>
  <si>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</si>
  <si>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</si>
  <si>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</si>
  <si>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</si>
  <si>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</si>
  <si>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</si>
  <si>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</si>
  <si>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</si>
  <si>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</si>
  <si>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</si>
  <si>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</si>
  <si>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</si>
  <si>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</si>
  <si>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</si>
  <si>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</si>
  <si>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</si>
  <si>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</si>
  <si>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</si>
  <si>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</si>
  <si>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</si>
  <si>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</si>
  <si>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</si>
  <si>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</si>
  <si>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</si>
  <si>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</si>
  <si>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</si>
  <si>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</si>
  <si>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</si>
  <si>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</si>
  <si>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</si>
  <si>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</si>
  <si>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</si>
  <si>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</si>
  <si>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</si>
  <si>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</si>
  <si>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</si>
  <si>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</si>
  <si>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</si>
  <si>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</si>
  <si>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</si>
  <si>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</si>
  <si>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</si>
  <si>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</si>
  <si>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</si>
  <si>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</si>
  <si>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</si>
  <si>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</si>
  <si>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</si>
  <si>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</si>
  <si>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</si>
  <si>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</si>
  <si>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</si>
  <si>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</si>
  <si>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</si>
  <si>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</si>
  <si>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</si>
  <si>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</si>
  <si>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</si>
  <si>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</si>
  <si>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</si>
  <si>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</si>
  <si>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</si>
  <si>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</si>
  <si>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</si>
  <si>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</si>
  <si>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</si>
  <si>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</si>
  <si>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</si>
  <si>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</si>
  <si>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</si>
  <si>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</si>
  <si>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</si>
  <si>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</si>
  <si>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</si>
  <si>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</si>
  <si>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</si>
  <si>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</si>
  <si>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</si>
  <si>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</si>
  <si>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</si>
  <si>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</si>
  <si>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</si>
  <si>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</si>
  <si>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</si>
  <si>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</si>
  <si>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</si>
  <si>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</si>
  <si>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</si>
  <si>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</si>
  <si>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</si>
  <si>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</si>
  <si>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</si>
  <si>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</si>
  <si>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</si>
  <si>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</si>
  <si>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</si>
  <si>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</si>
  <si>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</si>
  <si>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</si>
  <si>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</si>
  <si>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</si>
  <si>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</si>
  <si>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</si>
  <si>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</si>
  <si>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</si>
  <si>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</si>
  <si>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</si>
  <si>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</si>
  <si>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</si>
  <si>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</si>
  <si>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</si>
  <si>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</si>
  <si>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</si>
  <si>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</si>
  <si>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</si>
  <si>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</si>
  <si>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</si>
  <si>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</si>
  <si>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</si>
  <si>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</si>
  <si>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</si>
  <si>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</si>
  <si>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</si>
  <si>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</si>
  <si>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</si>
  <si>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</si>
  <si>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</si>
  <si>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</si>
  <si>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</si>
  <si>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</si>
  <si>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</si>
  <si>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</si>
  <si>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</si>
  <si>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</si>
  <si>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</si>
  <si>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</si>
  <si>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</si>
  <si>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</si>
  <si>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</si>
  <si>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</si>
  <si>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</si>
  <si>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</si>
  <si>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</si>
  <si>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</si>
  <si>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</si>
  <si>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</si>
  <si>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</si>
  <si>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</si>
  <si>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</si>
  <si>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</si>
  <si>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</si>
  <si>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</si>
  <si>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</si>
  <si>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</si>
  <si>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</si>
  <si>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</si>
  <si>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</si>
  <si>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</si>
  <si>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</si>
  <si>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</si>
  <si>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</si>
  <si>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</si>
  <si>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</si>
  <si>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</si>
  <si>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</si>
  <si>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</si>
  <si>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</si>
  <si>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</si>
  <si>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</si>
  <si>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</si>
  <si>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</si>
  <si>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</si>
  <si>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</si>
  <si>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</si>
  <si>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</si>
  <si>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</si>
  <si>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</si>
  <si>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</si>
  <si>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</si>
  <si>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</si>
  <si>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</si>
  <si>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</si>
  <si>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</si>
  <si>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</si>
  <si>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</si>
  <si>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</si>
  <si>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</si>
  <si>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</si>
  <si>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</si>
  <si>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</si>
  <si>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</si>
  <si>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</si>
  <si>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</si>
  <si>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</si>
  <si>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</si>
  <si>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</si>
  <si>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</si>
  <si>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</si>
  <si>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</si>
  <si>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</si>
  <si>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</si>
  <si>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</si>
  <si>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</si>
  <si>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</si>
  <si>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</si>
  <si>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</si>
  <si>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</si>
  <si>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</si>
  <si>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</si>
  <si>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</si>
  <si>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</si>
  <si>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</si>
  <si>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</si>
  <si>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</si>
  <si>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</si>
  <si>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</si>
  <si>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</si>
  <si>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</si>
  <si>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</si>
  <si>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</si>
  <si>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</si>
  <si>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</si>
  <si>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</si>
  <si>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</si>
  <si>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</si>
  <si>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</si>
  <si>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</si>
  <si>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</si>
  <si>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</si>
  <si>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</si>
  <si>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</si>
  <si>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</si>
  <si>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</si>
  <si>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</si>
  <si>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</si>
  <si>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</si>
  <si>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</si>
  <si>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</si>
  <si>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</si>
  <si>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</si>
  <si>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</si>
  <si>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</si>
  <si>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</si>
  <si>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</si>
  <si>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</si>
  <si>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</si>
  <si>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</si>
  <si>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</si>
  <si>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</si>
  <si>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</si>
  <si>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</si>
  <si>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</si>
  <si>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</si>
  <si>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</si>
  <si>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</si>
  <si>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</si>
  <si>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</si>
  <si>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</si>
  <si>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</si>
  <si>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</si>
  <si>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</si>
  <si>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</si>
  <si>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</si>
  <si>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</si>
  <si>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</si>
  <si>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</si>
  <si>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</si>
  <si>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</si>
  <si>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</si>
  <si>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</si>
  <si>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</si>
  <si>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</si>
  <si>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</si>
  <si>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</si>
  <si>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</si>
  <si>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</si>
  <si>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</si>
  <si>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</si>
  <si>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</si>
  <si>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</si>
  <si>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</si>
  <si>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</si>
  <si>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</si>
  <si>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</si>
  <si>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</si>
  <si>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</si>
  <si>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</si>
  <si>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</si>
  <si>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</si>
  <si>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</si>
  <si>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</si>
  <si>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</si>
  <si>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</si>
  <si>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</si>
  <si>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</si>
  <si>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</si>
  <si>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</si>
  <si>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</si>
  <si>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</si>
  <si>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</si>
  <si>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</si>
  <si>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</si>
  <si>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</si>
  <si>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</si>
  <si>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</si>
  <si>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</si>
  <si>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</si>
  <si>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</si>
  <si>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</si>
  <si>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</si>
  <si>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</si>
  <si>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</si>
  <si>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</si>
  <si>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</si>
  <si>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</si>
  <si>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</si>
  <si>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</si>
  <si>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</si>
  <si>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</si>
  <si>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</si>
  <si>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</si>
  <si>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</si>
  <si>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</si>
  <si>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</si>
  <si>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</si>
  <si>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</si>
  <si>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</si>
  <si>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</si>
  <si>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</si>
  <si>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</si>
  <si>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</si>
  <si>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</si>
  <si>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</si>
  <si>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</si>
  <si>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</si>
  <si>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</si>
  <si>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</si>
  <si>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</si>
  <si>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</si>
  <si>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</si>
  <si>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</si>
  <si>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</si>
  <si>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</si>
  <si>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</si>
  <si>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</si>
  <si>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</si>
  <si>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</si>
  <si>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</si>
  <si>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</si>
  <si>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</si>
  <si>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</si>
  <si>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</si>
  <si>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</si>
  <si>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</si>
  <si>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</si>
  <si>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</si>
  <si>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</si>
  <si>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</si>
  <si>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</si>
  <si>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</si>
  <si>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</si>
  <si>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</si>
  <si>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</si>
  <si>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</si>
  <si>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</si>
  <si>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</si>
  <si>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</si>
  <si>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</si>
  <si>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</si>
  <si>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</si>
  <si>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</si>
  <si>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</si>
  <si>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</si>
  <si>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</si>
  <si>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</si>
  <si>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</si>
  <si>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</si>
  <si>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</si>
  <si>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</si>
  <si>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</si>
  <si>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</si>
  <si>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</si>
  <si>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</si>
  <si>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</si>
  <si>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</si>
  <si>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</si>
  <si>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</si>
  <si>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</si>
  <si>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</si>
  <si>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</si>
  <si>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</si>
  <si>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</si>
  <si>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</si>
  <si>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</si>
  <si>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</si>
  <si>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</si>
  <si>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</si>
  <si>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</si>
  <si>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</si>
  <si>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</si>
  <si>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</si>
  <si>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</si>
  <si>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</si>
  <si>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</si>
  <si>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</si>
  <si>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</si>
  <si>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</si>
  <si>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</si>
  <si>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</si>
  <si>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</si>
  <si>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</si>
  <si>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</si>
  <si>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</si>
  <si>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</si>
  <si>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</si>
  <si>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</si>
  <si>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</si>
  <si>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</si>
  <si>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</si>
  <si>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</si>
  <si>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</si>
  <si>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</si>
  <si>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</si>
  <si>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</si>
  <si>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</si>
  <si>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</si>
  <si>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</si>
  <si>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</si>
  <si>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</si>
  <si>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</si>
  <si>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</si>
  <si>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</si>
  <si>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</si>
  <si>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</si>
  <si>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</si>
  <si>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</si>
  <si>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</si>
  <si>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</si>
  <si>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</si>
  <si>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</si>
  <si>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</si>
  <si>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</si>
  <si>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</si>
  <si>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</si>
  <si>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</si>
  <si>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</si>
  <si>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</si>
  <si>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</si>
  <si>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</si>
  <si>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</si>
  <si>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</si>
  <si>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</si>
  <si>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</si>
  <si>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</si>
  <si>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</si>
  <si>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</si>
  <si>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</si>
  <si>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</si>
  <si>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</si>
  <si>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</si>
  <si>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</si>
  <si>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</si>
  <si>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</si>
  <si>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</si>
  <si>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</si>
  <si>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</si>
  <si>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</si>
  <si>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</si>
  <si>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</si>
  <si>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</si>
  <si>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</si>
  <si>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</si>
  <si>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</si>
  <si>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</si>
  <si>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</si>
  <si>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</si>
  <si>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</si>
  <si>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</si>
  <si>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</si>
  <si>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</si>
  <si>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</si>
  <si>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</si>
  <si>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</si>
  <si>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</si>
  <si>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</si>
  <si>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</si>
  <si>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</si>
  <si>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</si>
  <si>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</si>
  <si>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</si>
  <si>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</si>
  <si>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</si>
  <si>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</si>
  <si>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</si>
  <si>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</si>
  <si>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</si>
  <si>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</si>
  <si>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</si>
  <si>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</si>
  <si>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</si>
  <si>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</si>
  <si>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</si>
  <si>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</si>
  <si>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</si>
  <si>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</si>
  <si>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</si>
  <si>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</si>
  <si>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</si>
  <si>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</si>
  <si>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</si>
  <si>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</si>
  <si>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</si>
  <si>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</si>
  <si>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</si>
  <si>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</si>
  <si>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</si>
  <si>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</si>
  <si>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</si>
  <si>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</si>
  <si>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</si>
  <si>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</si>
  <si>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</si>
  <si>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</si>
  <si>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</si>
  <si>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</si>
  <si>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</si>
  <si>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</si>
  <si>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</si>
  <si>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</si>
  <si>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</si>
  <si>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</si>
  <si>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</si>
  <si>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</si>
  <si>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</si>
  <si>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</si>
  <si>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</si>
  <si>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</si>
  <si>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</si>
  <si>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</si>
  <si>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</si>
  <si>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</si>
  <si>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</si>
  <si>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</si>
  <si>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</si>
  <si>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</si>
  <si>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</si>
  <si>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</si>
  <si>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</si>
  <si>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</si>
  <si>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</si>
  <si>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</si>
  <si>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</si>
  <si>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</si>
  <si>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</si>
  <si>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</si>
  <si>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</si>
  <si>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</si>
  <si>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</si>
  <si>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</si>
  <si>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</si>
  <si>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</si>
  <si>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</si>
  <si>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</si>
  <si>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</si>
  <si>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</si>
  <si>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</si>
  <si>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</si>
  <si>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</si>
  <si>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</si>
  <si>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</si>
  <si>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</si>
  <si>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</si>
  <si>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</si>
  <si>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</si>
  <si>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</si>
  <si>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</si>
  <si>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</si>
  <si>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</si>
  <si>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</si>
  <si>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</si>
  <si>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</si>
  <si>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</si>
  <si>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</si>
  <si>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</si>
  <si>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</si>
  <si>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</si>
  <si>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</si>
  <si>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</si>
  <si>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</si>
  <si>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</si>
  <si>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</si>
  <si>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</si>
  <si>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</si>
  <si>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</si>
  <si>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</si>
  <si>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</si>
  <si>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</si>
  <si>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</si>
  <si>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</si>
  <si>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</si>
  <si>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</si>
  <si>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</si>
  <si>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</si>
  <si>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</si>
  <si>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</si>
  <si>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</si>
  <si>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</si>
  <si>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</si>
  <si>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</si>
  <si>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</si>
  <si>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</si>
  <si>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</si>
  <si>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</si>
  <si>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</si>
  <si>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</si>
  <si>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</si>
  <si>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</si>
  <si>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</si>
  <si>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</si>
  <si>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</si>
  <si>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</si>
  <si>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</si>
  <si>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</si>
  <si>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</si>
  <si>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</si>
  <si>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</si>
  <si>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</si>
  <si>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</si>
  <si>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</si>
  <si>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</si>
  <si>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</si>
  <si>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</si>
  <si>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</si>
  <si>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</si>
  <si>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</si>
  <si>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</si>
  <si>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</si>
  <si>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</si>
  <si>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</si>
  <si>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</si>
  <si>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</si>
  <si>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</si>
  <si>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</si>
  <si>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</si>
  <si>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</si>
  <si>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</si>
  <si>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</si>
  <si>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</si>
  <si>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</si>
  <si>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</si>
  <si>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</si>
  <si>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</si>
  <si>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</si>
  <si>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</si>
  <si>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</si>
  <si>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</si>
  <si>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</si>
  <si>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</si>
  <si>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</si>
  <si>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</si>
  <si>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</si>
  <si>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</si>
  <si>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</si>
  <si>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</si>
  <si>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</si>
  <si>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</si>
  <si>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</si>
  <si>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</si>
  <si>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</si>
  <si>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</si>
  <si>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</si>
  <si>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</si>
  <si>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</si>
  <si>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</si>
  <si>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</si>
  <si>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</si>
  <si>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</si>
  <si>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</si>
  <si>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</si>
  <si>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</si>
  <si>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</si>
  <si>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</si>
  <si>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</si>
  <si>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</si>
  <si>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</si>
  <si>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</si>
  <si>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</si>
  <si>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</si>
  <si>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</si>
  <si>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</si>
  <si>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</si>
  <si>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</si>
  <si>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</si>
  <si>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</si>
  <si>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</si>
  <si>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</si>
  <si>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</si>
  <si>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</si>
  <si>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</si>
  <si>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</si>
  <si>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</si>
  <si>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</si>
  <si>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</si>
  <si>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</si>
  <si>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</si>
  <si>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</si>
  <si>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</si>
  <si>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</si>
  <si>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</si>
  <si>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</si>
  <si>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</si>
  <si>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</si>
  <si>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</si>
  <si>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</si>
  <si>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</si>
  <si>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</si>
  <si>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</si>
  <si>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</si>
  <si>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</si>
  <si>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</si>
  <si>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</si>
  <si>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</si>
  <si>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</si>
  <si>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</si>
  <si>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</si>
  <si>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</si>
  <si>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</si>
  <si>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</si>
  <si>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</si>
  <si>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</si>
  <si>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</si>
  <si>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</si>
  <si>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</si>
  <si>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</si>
  <si>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</si>
  <si>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</si>
  <si>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</si>
  <si>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</si>
  <si>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</si>
  <si>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</si>
  <si>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</si>
  <si>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</si>
  <si>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</si>
  <si>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</si>
  <si>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</si>
  <si>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</si>
  <si>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</si>
  <si>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</si>
  <si>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</si>
  <si>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</si>
  <si>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</si>
  <si>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</si>
  <si>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</si>
  <si>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</si>
  <si>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</si>
  <si>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</si>
  <si>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</si>
  <si>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</si>
  <si>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</si>
  <si>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</si>
  <si>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</si>
  <si>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</si>
  <si>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</si>
  <si>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</si>
  <si>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</si>
  <si>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</si>
  <si>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</si>
  <si>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</si>
  <si>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</si>
  <si>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</si>
  <si>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</si>
  <si>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</si>
  <si>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</si>
  <si>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</si>
  <si>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</si>
  <si>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</si>
  <si>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</si>
  <si>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</si>
  <si>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</si>
  <si>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</si>
  <si>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</si>
  <si>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</si>
  <si>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</si>
  <si>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</si>
  <si>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</si>
  <si>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</si>
  <si>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</si>
  <si>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</si>
  <si>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</si>
  <si>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</si>
  <si>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</si>
  <si>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</si>
  <si>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</si>
  <si>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</si>
  <si>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</si>
  <si>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</si>
  <si>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</si>
  <si>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</si>
  <si>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</si>
  <si>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</si>
  <si>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</si>
  <si>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</si>
  <si>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</si>
  <si>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</si>
  <si>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</si>
  <si>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</si>
  <si>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</si>
  <si>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</si>
  <si>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</si>
  <si>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</si>
  <si>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</si>
  <si>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</si>
  <si>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</si>
  <si>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</si>
  <si>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</si>
  <si>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</si>
  <si>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</si>
  <si>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</si>
  <si>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</si>
  <si>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</si>
  <si>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</si>
  <si>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</si>
  <si>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</si>
  <si>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</si>
  <si>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</si>
  <si>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</si>
  <si>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</si>
  <si>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</si>
  <si>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</si>
  <si>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</si>
  <si>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</si>
  <si>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</si>
  <si>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</si>
  <si>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</si>
  <si>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</si>
  <si>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</si>
  <si>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</si>
  <si>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</si>
  <si>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</si>
  <si>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</si>
  <si>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</si>
  <si>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</si>
  <si>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</si>
  <si>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</si>
  <si>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</si>
  <si>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</si>
  <si>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</si>
  <si>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</si>
  <si>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</si>
  <si>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</si>
  <si>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</si>
  <si>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</si>
  <si>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</si>
  <si>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</si>
  <si>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</si>
  <si>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</si>
  <si>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</si>
  <si>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</si>
  <si>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</si>
  <si>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</si>
  <si>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</si>
  <si>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</si>
  <si>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</si>
  <si>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</si>
  <si>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</si>
  <si>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</si>
  <si>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</si>
  <si>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</si>
  <si>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</si>
  <si>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</si>
  <si>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</si>
  <si>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</si>
  <si>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</si>
  <si>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</si>
  <si>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</si>
  <si>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</si>
  <si>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</si>
  <si>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</si>
  <si>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</si>
  <si>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</si>
  <si>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</si>
  <si>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</si>
  <si>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</si>
  <si>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</si>
  <si>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</si>
  <si>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</si>
  <si>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</si>
  <si>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</si>
  <si>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</si>
  <si>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</si>
  <si>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</si>
  <si>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</si>
  <si>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</si>
  <si>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</si>
  <si>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</si>
  <si>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</si>
  <si>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</si>
  <si>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</si>
  <si>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</si>
  <si>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</si>
  <si>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</si>
  <si>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</si>
  <si>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</si>
  <si>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</si>
  <si>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</si>
  <si>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</si>
  <si>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</si>
  <si>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</si>
  <si>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</si>
  <si>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</si>
  <si>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</si>
  <si>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</si>
  <si>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</si>
  <si>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</si>
  <si>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</si>
  <si>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</si>
  <si>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</si>
  <si>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</si>
  <si>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</si>
  <si>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</si>
  <si>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</si>
  <si>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</si>
  <si>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</si>
  <si>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</si>
  <si>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</si>
  <si>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</si>
  <si>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</si>
  <si>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</si>
  <si>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</si>
  <si>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</si>
  <si>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</si>
  <si>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</si>
  <si>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</si>
  <si>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</si>
  <si>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</si>
  <si>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</si>
  <si>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</si>
  <si>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</si>
  <si>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</si>
  <si>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</si>
  <si>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</si>
  <si>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</si>
  <si>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</si>
  <si>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</si>
  <si>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</si>
  <si>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</si>
  <si>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</si>
  <si>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</si>
  <si>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</si>
  <si>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</si>
  <si>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</si>
  <si>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</si>
  <si>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</si>
  <si>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</si>
  <si>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</si>
  <si>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</si>
  <si>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</si>
  <si>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</si>
  <si>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</si>
  <si>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</si>
  <si>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</si>
  <si>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</si>
  <si>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</si>
  <si>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</si>
  <si>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</si>
  <si>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</si>
  <si>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</si>
  <si>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</si>
  <si>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</si>
  <si>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</si>
  <si>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</si>
  <si>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</si>
  <si>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</si>
  <si>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</si>
  <si>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</si>
  <si>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</si>
  <si>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</si>
  <si>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</si>
  <si>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</si>
  <si>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</si>
  <si>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</si>
  <si>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</si>
  <si>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</si>
  <si>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</si>
  <si>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</si>
  <si>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</si>
  <si>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</si>
  <si>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</si>
  <si>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</si>
  <si>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</si>
  <si>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</si>
  <si>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</si>
  <si>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</si>
  <si>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</si>
  <si>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</si>
  <si>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</si>
  <si>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</si>
  <si>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</si>
  <si>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</si>
  <si>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</si>
  <si>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</si>
  <si>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</si>
  <si>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</si>
  <si>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</si>
  <si>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</si>
  <si>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</si>
  <si>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</si>
  <si>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</si>
  <si>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</si>
  <si>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</si>
  <si>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</si>
  <si>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</si>
  <si>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</si>
  <si>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</si>
  <si>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</si>
  <si>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</si>
  <si>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</si>
  <si>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</si>
  <si>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</si>
  <si>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</si>
  <si>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</si>
  <si>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</si>
  <si>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</si>
  <si>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</si>
  <si>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</si>
  <si>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</si>
  <si>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</si>
  <si>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</si>
  <si>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</si>
  <si>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</si>
  <si>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</si>
  <si>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</si>
  <si>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</si>
  <si>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</si>
  <si>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</si>
  <si>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</si>
  <si>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</si>
  <si>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</si>
  <si>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</si>
  <si>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</si>
  <si>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</si>
  <si>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</si>
  <si>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</si>
  <si>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</si>
  <si>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</si>
  <si>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</si>
  <si>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</si>
  <si>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</si>
  <si>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</si>
  <si>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</si>
  <si>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</si>
  <si>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</si>
  <si>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</si>
  <si>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</si>
  <si>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</si>
  <si>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</si>
  <si>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</si>
  <si>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</si>
  <si>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</si>
  <si>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</si>
  <si>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</si>
  <si>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</si>
  <si>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</si>
  <si>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</si>
  <si>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</si>
  <si>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</si>
  <si>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</si>
  <si>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</si>
  <si>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</si>
  <si>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</si>
  <si>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</si>
  <si>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</si>
  <si>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</si>
  <si>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</si>
  <si>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</si>
  <si>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</si>
  <si>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</si>
  <si>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</si>
  <si>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</si>
  <si>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</si>
  <si>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</si>
  <si>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</si>
  <si>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</si>
  <si>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</si>
  <si>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</si>
  <si>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</si>
  <si>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</si>
  <si>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</si>
  <si>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</si>
  <si>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</si>
  <si>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</si>
  <si>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</si>
  <si>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</si>
  <si>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</si>
  <si>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</si>
  <si>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</si>
  <si>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</si>
  <si>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</si>
  <si>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</si>
  <si>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</si>
  <si>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</si>
  <si>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</si>
  <si>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</si>
  <si>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</si>
  <si>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</si>
  <si>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</si>
  <si>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</si>
  <si>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</si>
  <si>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</si>
  <si>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</si>
  <si>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</si>
  <si>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</si>
  <si>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</si>
  <si>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</si>
  <si>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</si>
  <si>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</si>
  <si>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</si>
  <si>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</si>
  <si>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</si>
  <si>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</si>
  <si>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</si>
  <si>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</si>
  <si>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</si>
  <si>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</si>
  <si>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</si>
  <si>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</si>
  <si>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</si>
  <si>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</si>
  <si>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</si>
  <si>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</si>
  <si>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</si>
  <si>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</si>
  <si>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</si>
  <si>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</si>
  <si>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</si>
  <si>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</si>
  <si>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</si>
  <si>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</si>
  <si>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</si>
  <si>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</si>
  <si>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</si>
  <si>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</si>
  <si>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</si>
  <si>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</si>
  <si>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</si>
  <si>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</si>
  <si>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</si>
  <si>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</si>
  <si>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</si>
  <si>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</si>
  <si>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</si>
  <si>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</si>
  <si>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</si>
  <si>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</si>
  <si>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</si>
  <si>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</si>
  <si>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</si>
  <si>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</si>
  <si>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</si>
  <si>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</si>
  <si>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</si>
  <si>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</si>
  <si>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</si>
  <si>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</si>
  <si>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</si>
  <si>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</si>
  <si>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</si>
  <si>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</si>
  <si>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</si>
  <si>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</si>
  <si>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</si>
  <si>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</si>
  <si>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</si>
  <si>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</si>
  <si>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</si>
  <si>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</si>
  <si>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</si>
  <si>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</si>
  <si>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</si>
  <si>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</si>
  <si>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</si>
  <si>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</si>
  <si>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</si>
  <si>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</si>
  <si>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</si>
  <si>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</si>
  <si>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</si>
  <si>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</si>
  <si>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</si>
  <si>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</si>
  <si>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</si>
  <si>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</si>
  <si>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</si>
  <si>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</si>
  <si>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</si>
  <si>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</si>
  <si>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</si>
  <si>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</si>
  <si>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</si>
  <si>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</si>
  <si>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</si>
  <si>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</si>
  <si>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</si>
  <si>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</si>
  <si>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</si>
  <si>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</si>
  <si>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</si>
  <si>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</si>
  <si>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</si>
  <si>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</si>
  <si>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</si>
  <si>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</si>
  <si>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</si>
  <si>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</si>
  <si>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</si>
  <si>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</si>
  <si>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</si>
  <si>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</si>
  <si>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</si>
  <si>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</si>
  <si>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</si>
  <si>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</si>
  <si>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</si>
  <si>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</si>
  <si>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</si>
  <si>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</si>
  <si>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</si>
  <si>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</si>
  <si>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</si>
  <si>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</si>
  <si>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</si>
  <si>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</si>
  <si>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</si>
  <si>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</si>
  <si>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</si>
  <si>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</si>
  <si>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</si>
  <si>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</si>
  <si>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</si>
  <si>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</si>
  <si>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</si>
  <si>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</si>
  <si>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</si>
  <si>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</si>
  <si>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</si>
  <si>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</si>
  <si>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</si>
  <si>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</si>
  <si>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</si>
  <si>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</si>
  <si>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</si>
  <si>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</si>
  <si>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</si>
  <si>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</si>
  <si>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</si>
  <si>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</si>
  <si>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</si>
  <si>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</si>
  <si>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</si>
  <si>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</si>
  <si>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</si>
  <si>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</si>
  <si>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</si>
  <si>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</si>
  <si>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</si>
  <si>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</si>
  <si>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</si>
  <si>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</si>
  <si>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</si>
  <si>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</si>
  <si>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</si>
  <si>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</si>
  <si>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</si>
  <si>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</si>
  <si>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</si>
  <si>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</si>
  <si>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</si>
  <si>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</si>
  <si>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</si>
  <si>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</si>
  <si>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</si>
  <si>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</si>
  <si>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</si>
  <si>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</si>
  <si>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</si>
  <si>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</si>
  <si>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</si>
  <si>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</si>
  <si>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</si>
  <si>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</si>
  <si>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</si>
  <si>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</si>
  <si>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</si>
  <si>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</si>
  <si>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</si>
  <si>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</si>
  <si>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</si>
  <si>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</si>
  <si>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</si>
  <si>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</si>
  <si>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</si>
  <si>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</si>
  <si>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</si>
  <si>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</si>
  <si>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</si>
  <si>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</si>
  <si>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</si>
  <si>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</si>
  <si>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</si>
  <si>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</si>
  <si>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</si>
  <si>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</si>
  <si>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</si>
  <si>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</si>
  <si>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</si>
  <si>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</si>
  <si>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</si>
  <si>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</si>
  <si>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</si>
  <si>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</si>
  <si>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</si>
  <si>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</si>
  <si>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</si>
  <si>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</si>
  <si>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</si>
  <si>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</si>
  <si>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</si>
  <si>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</si>
  <si>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</si>
  <si>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</si>
  <si>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</si>
  <si>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</si>
  <si>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</si>
  <si>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</si>
  <si>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</si>
  <si>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</si>
  <si>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</si>
  <si>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</si>
  <si>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</si>
  <si>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</si>
  <si>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</si>
  <si>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</si>
  <si>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</si>
  <si>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</si>
  <si>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</si>
  <si>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</si>
  <si>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</si>
  <si>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</si>
  <si>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</si>
  <si>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</si>
  <si>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</si>
  <si>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</si>
  <si>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</si>
  <si>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</si>
  <si>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</si>
  <si>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</si>
  <si>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</si>
  <si>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</si>
  <si>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</si>
  <si>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</si>
  <si>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</si>
  <si>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</si>
  <si>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</si>
  <si>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</si>
  <si>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</si>
  <si>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</si>
  <si>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</si>
  <si>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</si>
  <si>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</si>
  <si>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</si>
  <si>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</si>
  <si>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</si>
  <si>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</si>
  <si>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</si>
  <si>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</si>
  <si>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</si>
  <si>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</si>
  <si>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</si>
  <si>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</si>
  <si>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</si>
  <si>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</si>
  <si>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</si>
  <si>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</si>
  <si>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</si>
  <si>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</si>
  <si>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</si>
  <si>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</si>
  <si>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</si>
  <si>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</si>
  <si>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</si>
  <si>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</si>
  <si>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</si>
  <si>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</si>
  <si>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</si>
  <si>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</si>
  <si>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</si>
  <si>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</si>
  <si>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</si>
  <si>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</si>
  <si>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</si>
  <si>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</si>
  <si>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</si>
  <si>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</si>
  <si>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</si>
  <si>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</si>
  <si>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</si>
  <si>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</si>
  <si>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</si>
  <si>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</si>
  <si>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</si>
  <si>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</si>
  <si>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</si>
  <si>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</si>
  <si>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</si>
  <si>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</si>
  <si>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</si>
  <si>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</si>
  <si>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</si>
  <si>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</si>
  <si>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</si>
  <si>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</si>
  <si>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</si>
  <si>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</si>
  <si>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</si>
  <si>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</si>
  <si>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</si>
  <si>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</si>
  <si>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</si>
  <si>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</si>
  <si>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</si>
  <si>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</si>
  <si>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</si>
  <si>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</si>
  <si>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</si>
  <si>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</si>
  <si>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</si>
  <si>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</si>
  <si>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</si>
  <si>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</si>
  <si>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</si>
  <si>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</si>
  <si>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</si>
  <si>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</si>
  <si>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</si>
  <si>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</si>
  <si>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</si>
  <si>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</si>
  <si>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</si>
  <si>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</si>
  <si>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</si>
  <si>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</si>
  <si>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</si>
  <si>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</si>
  <si>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</si>
  <si>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</si>
  <si>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</si>
  <si>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</si>
  <si>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</si>
  <si>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</si>
  <si>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</si>
  <si>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</si>
  <si>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</si>
  <si>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</si>
  <si>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</si>
  <si>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</si>
  <si>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</si>
  <si>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</si>
  <si>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</si>
  <si>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</si>
  <si>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</si>
  <si>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</si>
  <si>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</si>
  <si>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</si>
  <si>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</si>
  <si>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</si>
  <si>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</si>
  <si>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</si>
  <si>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</si>
  <si>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</si>
  <si>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</si>
  <si>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</si>
  <si>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</si>
  <si>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</si>
  <si>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</si>
  <si>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</si>
  <si>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</si>
  <si>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</si>
  <si>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</si>
  <si>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</si>
  <si>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</si>
  <si>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</si>
  <si>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</si>
  <si>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</si>
  <si>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</si>
  <si>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</si>
  <si>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</si>
  <si>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</si>
  <si>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</si>
  <si>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</si>
  <si>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</si>
  <si>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</si>
  <si>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</si>
  <si>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</si>
  <si>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</si>
  <si>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</si>
  <si>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</si>
  <si>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</si>
  <si>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</si>
  <si>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</si>
  <si>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</si>
  <si>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</si>
  <si>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</si>
  <si>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</si>
  <si>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</si>
  <si>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</si>
  <si>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</si>
  <si>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</si>
  <si>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</si>
  <si>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</si>
  <si>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</si>
  <si>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</si>
  <si>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</si>
  <si>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</si>
  <si>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</si>
  <si>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</si>
  <si>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</si>
  <si>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</si>
  <si>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</si>
  <si>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</si>
  <si>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</si>
  <si>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</si>
  <si>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</si>
  <si>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</si>
  <si>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</si>
  <si>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</si>
  <si>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</si>
  <si>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</si>
  <si>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</si>
  <si>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</si>
  <si>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</si>
  <si>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</si>
  <si>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</si>
  <si>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</si>
  <si>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</si>
  <si>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</si>
  <si>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</si>
  <si>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</si>
  <si>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</si>
  <si>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</si>
  <si>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</si>
  <si>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</si>
  <si>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</si>
  <si>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</si>
  <si>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</si>
  <si>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</si>
  <si>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</si>
  <si>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</si>
  <si>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</si>
  <si>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</si>
  <si>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</si>
  <si>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</si>
  <si>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</si>
  <si>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</si>
  <si>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</si>
  <si>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</si>
  <si>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</si>
  <si>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</si>
  <si>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</si>
  <si>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</si>
  <si>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</si>
  <si>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</si>
  <si>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</si>
  <si>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</si>
  <si>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</si>
  <si>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</si>
  <si>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</si>
  <si>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</si>
  <si>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</si>
  <si>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</si>
  <si>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</si>
  <si>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</si>
  <si>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</si>
  <si>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</si>
  <si>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</si>
  <si>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</si>
  <si>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</si>
  <si>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</si>
  <si>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</si>
  <si>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</si>
  <si>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</si>
  <si>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</si>
  <si>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</si>
  <si>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</si>
  <si>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</si>
  <si>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</si>
  <si>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</si>
  <si>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</si>
  <si>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</si>
  <si>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</si>
  <si>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</si>
  <si>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</si>
  <si>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</si>
  <si>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</si>
  <si>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</si>
  <si>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</si>
  <si>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</si>
  <si>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</si>
  <si>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</si>
  <si>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</si>
  <si>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</si>
  <si>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</si>
  <si>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</si>
  <si>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</si>
  <si>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</si>
  <si>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</si>
  <si>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</si>
  <si>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</si>
  <si>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</si>
  <si>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</si>
  <si>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</si>
  <si>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</si>
  <si>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</si>
  <si>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</si>
  <si>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</si>
  <si>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</si>
  <si>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</si>
  <si>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</si>
  <si>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</si>
  <si>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</si>
  <si>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</si>
  <si>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</si>
  <si>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</si>
  <si>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</si>
  <si>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</si>
  <si>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</si>
  <si>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</si>
  <si>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</si>
  <si>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</si>
  <si>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</si>
  <si>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</si>
  <si>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</si>
  <si>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</si>
  <si>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</si>
  <si>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</si>
  <si>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</si>
  <si>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</si>
  <si>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</si>
  <si>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</si>
  <si>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</si>
  <si>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</si>
  <si>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</si>
  <si>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</si>
  <si>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</si>
  <si>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</si>
  <si>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</si>
  <si>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</si>
  <si>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</si>
  <si>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</si>
  <si>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</si>
  <si>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</si>
  <si>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</si>
  <si>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</si>
  <si>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</si>
  <si>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</si>
  <si>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</si>
  <si>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</si>
  <si>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</si>
  <si>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</si>
  <si>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</si>
  <si>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</si>
  <si>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</si>
  <si>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</si>
  <si>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</si>
  <si>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</si>
  <si>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</si>
  <si>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</si>
  <si>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</si>
  <si>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</si>
  <si>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</si>
  <si>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</si>
  <si>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</si>
  <si>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</si>
  <si>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</si>
  <si>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</si>
  <si>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</si>
  <si>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</si>
  <si>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</si>
  <si>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</si>
  <si>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</si>
  <si>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</si>
  <si>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</si>
  <si>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</si>
  <si>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</si>
  <si>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</si>
  <si>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</si>
  <si>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</si>
  <si>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</si>
  <si>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</si>
  <si>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</si>
  <si>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</si>
  <si>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</si>
  <si>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</si>
  <si>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</si>
  <si>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</si>
  <si>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</si>
  <si>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</si>
  <si>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</si>
  <si>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</si>
  <si>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</si>
  <si>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</si>
  <si>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</si>
  <si>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</si>
  <si>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</si>
  <si>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</si>
  <si>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</si>
  <si>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</si>
  <si>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</si>
  <si>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</si>
  <si>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</si>
  <si>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</si>
  <si>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</si>
  <si>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</si>
  <si>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</si>
  <si>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</si>
  <si>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</si>
  <si>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</si>
  <si>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</si>
  <si>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</si>
  <si>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</si>
  <si>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</si>
  <si>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</si>
  <si>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</si>
  <si>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</si>
  <si>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</si>
  <si>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</si>
  <si>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</si>
  <si>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</si>
  <si>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</si>
  <si>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</si>
  <si>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</si>
  <si>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</si>
  <si>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</si>
  <si>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</si>
  <si>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</si>
  <si>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</si>
  <si>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</si>
  <si>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</si>
  <si>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</si>
  <si>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</si>
  <si>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</si>
  <si>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</si>
  <si>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</si>
  <si>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</si>
  <si>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</si>
  <si>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</si>
  <si>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</si>
  <si>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</si>
  <si>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</si>
  <si>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</si>
  <si>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</si>
  <si>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</si>
  <si>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</si>
  <si>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</si>
  <si>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</si>
  <si>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</si>
  <si>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</si>
  <si>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</si>
  <si>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</si>
  <si>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</si>
  <si>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</si>
  <si>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</si>
  <si>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</si>
  <si>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</si>
  <si>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</si>
  <si>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</si>
  <si>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</si>
  <si>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</si>
  <si>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</si>
  <si>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</si>
  <si>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</si>
  <si>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</si>
  <si>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</si>
  <si>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</si>
  <si>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</si>
  <si>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</si>
  <si>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</si>
  <si>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</si>
  <si>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</si>
  <si>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</si>
  <si>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</si>
  <si>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</si>
  <si>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</si>
  <si>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</si>
  <si>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</si>
  <si>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</si>
  <si>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</si>
  <si>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</si>
  <si>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</si>
  <si>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</si>
  <si>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</si>
  <si>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</si>
  <si>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</si>
  <si>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</si>
  <si>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</si>
  <si>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</si>
  <si>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</si>
  <si>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</si>
  <si>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</si>
  <si>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</si>
  <si>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</si>
  <si>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</si>
  <si>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</si>
  <si>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</si>
  <si>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</si>
  <si>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</si>
  <si>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</si>
  <si>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</si>
  <si>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</si>
  <si>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</si>
  <si>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</si>
  <si>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</si>
  <si>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</si>
  <si>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</si>
  <si>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</si>
  <si>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</si>
  <si>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</si>
  <si>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</si>
  <si>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</si>
  <si>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</si>
  <si>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</si>
  <si>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</si>
  <si>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</si>
  <si>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</si>
  <si>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</si>
  <si>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</si>
  <si>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</si>
  <si>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</si>
  <si>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</si>
  <si>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</si>
  <si>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</si>
  <si>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</si>
  <si>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</si>
  <si>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</si>
  <si>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</si>
  <si>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</si>
  <si>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</si>
  <si>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</si>
  <si>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</si>
  <si>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</si>
  <si>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</si>
  <si>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</si>
  <si>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</si>
  <si>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</si>
  <si>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</si>
  <si>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</si>
  <si>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</si>
  <si>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</si>
  <si>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</si>
  <si>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</si>
  <si>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</si>
  <si>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</si>
  <si>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</si>
  <si>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</si>
  <si>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</si>
  <si>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</si>
  <si>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</si>
  <si>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</si>
  <si>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</si>
  <si>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</si>
  <si>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</si>
  <si>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</si>
  <si>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</si>
  <si>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</si>
  <si>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</si>
  <si>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</si>
  <si>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</si>
  <si>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</si>
  <si>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</si>
  <si>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</si>
  <si>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</si>
  <si>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</si>
  <si>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</si>
  <si>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</si>
  <si>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</si>
  <si>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</si>
  <si>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</si>
  <si>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</si>
  <si>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</si>
  <si>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</si>
  <si>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</si>
  <si>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</si>
  <si>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</si>
  <si>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</si>
  <si>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</si>
  <si>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</si>
  <si>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</si>
  <si>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</si>
  <si>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</si>
  <si>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</si>
  <si>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</si>
  <si>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</si>
  <si>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</si>
  <si>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</si>
  <si>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</si>
  <si>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</si>
  <si>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</si>
  <si>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</si>
  <si>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</si>
  <si>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</si>
  <si>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</si>
  <si>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</si>
  <si>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</si>
  <si>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</si>
  <si>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</si>
  <si>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</si>
  <si>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</si>
  <si>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</si>
  <si>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</si>
  <si>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</si>
  <si>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</si>
  <si>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</si>
  <si>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</si>
  <si>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</si>
  <si>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</si>
  <si>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</si>
  <si>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</si>
  <si>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</si>
  <si>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</si>
  <si>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</si>
  <si>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</si>
  <si>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</si>
  <si>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</si>
  <si>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</si>
  <si>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</si>
  <si>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</si>
  <si>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</si>
  <si>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</si>
  <si>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</si>
  <si>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</si>
  <si>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</si>
  <si>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</si>
  <si>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</si>
  <si>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</si>
  <si>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</si>
  <si>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</si>
  <si>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</si>
  <si>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</si>
  <si>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</si>
  <si>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</si>
  <si>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</si>
  <si>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</si>
  <si>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</si>
  <si>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</si>
  <si>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</si>
  <si>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</si>
  <si>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</si>
  <si>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</si>
  <si>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</si>
  <si>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</si>
  <si>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</si>
  <si>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</si>
  <si>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</si>
  <si>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</si>
  <si>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</si>
  <si>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</si>
  <si>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</si>
  <si>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</si>
  <si>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</si>
  <si>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</si>
  <si>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</si>
  <si>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</si>
  <si>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</si>
  <si>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</si>
  <si>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</si>
  <si>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</si>
  <si>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</si>
  <si>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</si>
  <si>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</si>
  <si>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</si>
  <si>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</si>
  <si>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</si>
  <si>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</si>
  <si>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</si>
  <si>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</si>
  <si>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</si>
  <si>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</si>
  <si>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</si>
  <si>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</si>
  <si>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</si>
  <si>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</si>
  <si>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</si>
  <si>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</si>
  <si>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</si>
  <si>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</si>
  <si>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</si>
  <si>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</si>
  <si>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</si>
  <si>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</si>
  <si>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</si>
  <si>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</si>
  <si>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</si>
  <si>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</si>
  <si>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</si>
  <si>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</si>
  <si>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</si>
  <si>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</si>
  <si>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</si>
  <si>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</si>
  <si>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</si>
  <si>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</si>
  <si>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</si>
  <si>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</si>
  <si>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</si>
  <si>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</si>
  <si>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</si>
  <si>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</si>
  <si>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</si>
  <si>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</si>
  <si>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</si>
  <si>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</si>
  <si>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</si>
  <si>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</si>
  <si>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</si>
  <si>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</si>
  <si>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</si>
  <si>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</si>
  <si>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</si>
  <si>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</si>
  <si>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</si>
  <si>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</si>
  <si>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</si>
  <si>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</si>
  <si>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</si>
  <si>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</si>
  <si>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</si>
  <si>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</si>
  <si>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</si>
  <si>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</si>
  <si>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</si>
  <si>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</si>
  <si>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</si>
  <si>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</si>
  <si>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</si>
  <si>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</si>
  <si>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</si>
  <si>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</si>
  <si>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</si>
  <si>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</si>
  <si>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</si>
  <si>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</si>
  <si>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</si>
  <si>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</si>
  <si>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</si>
  <si>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</si>
  <si>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</si>
  <si>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</si>
  <si>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</si>
  <si>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</si>
  <si>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</si>
  <si>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</si>
  <si>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</si>
  <si>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</si>
  <si>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</si>
  <si>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</si>
  <si>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</si>
  <si>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</si>
  <si>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</si>
  <si>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</si>
  <si>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</si>
  <si>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</si>
  <si>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</si>
  <si>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</si>
  <si>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</si>
  <si>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</si>
  <si>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</si>
  <si>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</si>
  <si>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</si>
  <si>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</si>
  <si>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</si>
  <si>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</si>
  <si>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</si>
  <si>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</si>
  <si>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</si>
  <si>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</si>
  <si>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</si>
  <si>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</si>
  <si>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</si>
  <si>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</si>
  <si>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</si>
  <si>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</si>
  <si>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</si>
  <si>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</si>
  <si>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</si>
  <si>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</si>
  <si>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</si>
  <si>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</si>
  <si>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</si>
  <si>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</si>
  <si>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</si>
  <si>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</si>
  <si>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</si>
  <si>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</si>
  <si>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</si>
  <si>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</si>
  <si>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</si>
  <si>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</si>
  <si>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</si>
  <si>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</si>
  <si>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</si>
  <si>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</si>
  <si>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</si>
  <si>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</si>
  <si>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</si>
  <si>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</si>
  <si>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</si>
  <si>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</si>
  <si>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</si>
  <si>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</si>
  <si>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</si>
  <si>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</si>
  <si>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</si>
  <si>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</si>
  <si>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</si>
  <si>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</si>
  <si>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</si>
  <si>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</si>
  <si>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</si>
  <si>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</si>
  <si>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</si>
  <si>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</si>
  <si>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</si>
  <si>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</si>
  <si>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</si>
  <si>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</si>
  <si>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</si>
  <si>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</si>
  <si>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</si>
  <si>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</si>
  <si>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</si>
  <si>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</si>
  <si>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</si>
  <si>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</si>
  <si>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</si>
  <si>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</si>
  <si>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</si>
  <si>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</si>
  <si>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</si>
  <si>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</si>
  <si>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</si>
  <si>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</si>
  <si>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</si>
  <si>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</si>
  <si>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</si>
  <si>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</si>
  <si>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</si>
  <si>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</si>
  <si>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</si>
  <si>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</si>
  <si>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</si>
  <si>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</si>
  <si>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</si>
  <si>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</si>
  <si>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</si>
  <si>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</si>
  <si>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</si>
  <si>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</si>
  <si>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</si>
  <si>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</si>
  <si>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</si>
  <si>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</si>
  <si>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</si>
  <si>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</si>
  <si>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</si>
  <si>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</si>
  <si>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</si>
  <si>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</si>
  <si>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</si>
  <si>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</si>
  <si>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</si>
  <si>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</si>
  <si>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</si>
  <si>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</si>
  <si>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</si>
  <si>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</si>
  <si>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</si>
  <si>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</si>
  <si>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</si>
  <si>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</si>
  <si>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</si>
  <si>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</si>
  <si>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</si>
  <si>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</si>
  <si>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</si>
  <si>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</si>
  <si>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</si>
  <si>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</si>
  <si>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</si>
  <si>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</si>
  <si>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</si>
  <si>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</si>
  <si>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</si>
  <si>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</si>
  <si>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</si>
  <si>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</si>
  <si>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</si>
  <si>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</si>
  <si>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</si>
  <si>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</si>
  <si>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</si>
  <si>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</si>
  <si>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</si>
  <si>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</si>
  <si>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</si>
  <si>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</si>
  <si>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</si>
  <si>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</si>
  <si>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</si>
  <si>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</si>
  <si>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</si>
  <si>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</si>
  <si>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</si>
  <si>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</si>
  <si>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</si>
  <si>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</si>
  <si>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</si>
  <si>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</si>
  <si>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</si>
  <si>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</si>
  <si>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</si>
  <si>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</si>
  <si>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</si>
  <si>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</si>
  <si>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</si>
  <si>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</si>
  <si>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</si>
  <si>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</si>
  <si>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</si>
  <si>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</si>
  <si>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</si>
  <si>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</si>
  <si>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</si>
  <si>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</si>
  <si>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</si>
  <si>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</si>
  <si>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</si>
  <si>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</si>
  <si>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</si>
  <si>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</si>
  <si>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</si>
  <si>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</si>
  <si>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</si>
  <si>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</si>
  <si>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</si>
  <si>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</si>
  <si>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</si>
  <si>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</si>
  <si>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</si>
  <si>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</si>
  <si>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</si>
  <si>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</si>
  <si>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</si>
  <si>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</si>
  <si>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</si>
  <si>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</si>
  <si>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</si>
  <si>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</si>
  <si>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</si>
  <si>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</si>
  <si>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</si>
  <si>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</si>
  <si>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</si>
  <si>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</si>
  <si>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</si>
  <si>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</si>
  <si>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</si>
  <si>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</si>
  <si>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</si>
  <si>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</si>
  <si>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</si>
  <si>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</si>
  <si>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</si>
  <si>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</si>
  <si>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</si>
  <si>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</si>
  <si>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</si>
  <si>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</si>
  <si>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</si>
  <si>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</si>
  <si>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</si>
  <si>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</si>
  <si>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</si>
  <si>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</si>
  <si>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</si>
  <si>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</si>
  <si>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</si>
  <si>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</si>
  <si>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</si>
  <si>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</si>
  <si>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</si>
  <si>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</si>
  <si>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</si>
  <si>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</si>
  <si>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</si>
  <si>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</si>
  <si>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</si>
  <si>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</si>
  <si>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</si>
  <si>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</si>
  <si>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</si>
  <si>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</si>
  <si>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</si>
  <si>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</si>
  <si>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</si>
  <si>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</si>
  <si>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</si>
  <si>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</si>
  <si>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</si>
  <si>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</si>
  <si>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</si>
  <si>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</si>
  <si>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</si>
  <si>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</si>
  <si>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</si>
  <si>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</si>
  <si>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</si>
  <si>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</si>
  <si>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</si>
  <si>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</si>
  <si>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</si>
  <si>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</si>
  <si>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</si>
  <si>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</si>
  <si>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</si>
  <si>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</si>
  <si>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</si>
  <si>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</si>
  <si>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</si>
  <si>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</si>
  <si>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</si>
  <si>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</si>
  <si>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</si>
  <si>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</si>
  <si>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</si>
  <si>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</si>
  <si>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</si>
  <si>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</si>
  <si>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</si>
  <si>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</si>
  <si>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</si>
  <si>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</si>
  <si>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</si>
  <si>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</si>
  <si>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</si>
  <si>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</si>
  <si>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</si>
  <si>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</si>
  <si>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</si>
  <si>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</si>
  <si>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</si>
  <si>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</si>
  <si>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</si>
  <si>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</si>
  <si>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</si>
  <si>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</si>
  <si>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</si>
  <si>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</si>
  <si>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</si>
  <si>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</si>
  <si>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</si>
  <si>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</si>
  <si>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</si>
  <si>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</si>
  <si>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</si>
  <si>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</si>
  <si>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</si>
  <si>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</si>
  <si>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</si>
  <si>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</si>
  <si>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</si>
  <si>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</si>
  <si>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</si>
  <si>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</si>
  <si>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</si>
  <si>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</si>
  <si>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</si>
  <si>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</si>
  <si>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</si>
  <si>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</si>
  <si>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</si>
  <si>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</si>
  <si>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</si>
  <si>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</si>
  <si>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</si>
  <si>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</si>
  <si>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</si>
  <si>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</si>
  <si>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</si>
  <si>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</si>
  <si>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</si>
  <si>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</si>
  <si>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</si>
  <si>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</si>
  <si>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</si>
  <si>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</si>
  <si>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</si>
  <si>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</si>
  <si>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</si>
  <si>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</si>
  <si>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</si>
  <si>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</si>
  <si>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</si>
  <si>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</si>
  <si>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</si>
  <si>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</si>
  <si>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</si>
  <si>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</si>
  <si>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</si>
  <si>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</si>
  <si>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</si>
  <si>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</si>
  <si>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</si>
  <si>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</si>
  <si>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</si>
  <si>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</si>
  <si>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</si>
  <si>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</si>
  <si>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</si>
  <si>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</si>
  <si>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</si>
  <si>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</si>
  <si>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</si>
  <si>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</si>
  <si>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</si>
  <si>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</si>
  <si>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</si>
  <si>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</si>
  <si>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</si>
  <si>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</si>
  <si>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</si>
  <si>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</si>
  <si>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</si>
  <si>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</si>
  <si>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</si>
  <si>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</si>
  <si>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</si>
  <si>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</si>
  <si>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</si>
  <si>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</si>
  <si>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</si>
  <si>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</si>
  <si>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</si>
  <si>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</si>
  <si>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</si>
  <si>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</si>
  <si>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</si>
  <si>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</si>
  <si>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</si>
  <si>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</si>
  <si>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</si>
  <si>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</si>
  <si>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</si>
  <si>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</si>
  <si>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</si>
  <si>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</si>
  <si>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</si>
  <si>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</si>
  <si>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</si>
  <si>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</si>
  <si>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</si>
  <si>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</si>
  <si>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</si>
  <si>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</si>
  <si>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</si>
  <si>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</si>
  <si>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</si>
  <si>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</si>
  <si>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</si>
  <si>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</si>
  <si>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</si>
  <si>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</si>
  <si>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</si>
  <si>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</si>
  <si>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</si>
  <si>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</si>
  <si>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</si>
  <si>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</si>
  <si>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</si>
  <si>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</si>
  <si>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</si>
  <si>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</si>
  <si>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</si>
  <si>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</si>
  <si>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</si>
  <si>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</si>
  <si>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</si>
  <si>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</si>
  <si>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</si>
  <si>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</si>
  <si>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</si>
  <si>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</si>
  <si>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</si>
  <si>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</si>
  <si>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</si>
  <si>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</si>
  <si>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</si>
  <si>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</si>
  <si>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</si>
  <si>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</si>
  <si>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</si>
  <si>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</si>
  <si>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</si>
  <si>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</si>
  <si>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</si>
  <si>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</si>
  <si>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</si>
  <si>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</si>
  <si>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</si>
  <si>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</si>
  <si>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</si>
  <si>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</si>
  <si>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</si>
  <si>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</si>
  <si>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</si>
  <si>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</si>
  <si>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</si>
  <si>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</si>
  <si>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</si>
  <si>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</si>
  <si>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</si>
  <si>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</si>
  <si>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</si>
  <si>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</si>
  <si>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</si>
  <si>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</si>
  <si>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</si>
  <si>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</si>
  <si>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</si>
  <si>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</si>
  <si>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</si>
  <si>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</si>
  <si>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</si>
  <si>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</si>
  <si>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</si>
  <si>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</si>
  <si>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</si>
  <si>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</si>
  <si>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</si>
  <si>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</si>
  <si>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</si>
  <si>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</si>
  <si>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</si>
  <si>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</si>
  <si>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</si>
  <si>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</si>
  <si>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</si>
  <si>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</si>
  <si>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</si>
  <si>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</si>
  <si>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</si>
  <si>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</si>
  <si>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</si>
  <si>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</si>
  <si>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</si>
  <si>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</si>
  <si>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</si>
  <si>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</si>
  <si>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</si>
  <si>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</si>
  <si>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</si>
  <si>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</si>
  <si>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</si>
  <si>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</si>
  <si>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</si>
  <si>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</si>
  <si>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</si>
  <si>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</si>
  <si>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</si>
  <si>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</si>
  <si>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</si>
  <si>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</si>
  <si>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</si>
  <si>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</si>
  <si>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</si>
  <si>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</si>
  <si>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</si>
  <si>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</si>
  <si>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</si>
  <si>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</si>
  <si>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</si>
  <si>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</si>
  <si>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</si>
  <si>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</si>
  <si>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</si>
  <si>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</si>
  <si>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</si>
  <si>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</si>
  <si>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</si>
  <si>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</si>
  <si>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</si>
  <si>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</si>
  <si>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</si>
  <si>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</si>
  <si>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</si>
  <si>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</si>
  <si>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</si>
  <si>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</si>
  <si>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</si>
  <si>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</si>
  <si>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</si>
  <si>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</si>
  <si>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</si>
  <si>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</si>
  <si>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</si>
  <si>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</si>
  <si>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</si>
  <si>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</si>
  <si>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</si>
  <si>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</si>
  <si>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</si>
  <si>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</si>
  <si>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</si>
  <si>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</si>
  <si>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</si>
  <si>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</si>
  <si>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</si>
  <si>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</si>
  <si>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</si>
  <si>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</si>
  <si>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</si>
  <si>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</si>
  <si>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</si>
  <si>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</si>
  <si>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</si>
  <si>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</si>
  <si>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</si>
  <si>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</si>
  <si>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</si>
  <si>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</si>
  <si>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</si>
  <si>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</si>
  <si>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</si>
  <si>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</si>
  <si>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</si>
  <si>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</si>
  <si>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</si>
  <si>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</si>
  <si>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</si>
  <si>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</si>
  <si>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</si>
  <si>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</si>
  <si>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</si>
  <si>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</si>
  <si>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</si>
  <si>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</si>
  <si>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</si>
  <si>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</si>
  <si>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</si>
  <si>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</si>
  <si>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</si>
  <si>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</si>
  <si>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</si>
  <si>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</si>
  <si>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</si>
  <si>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</si>
  <si>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</si>
  <si>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</si>
  <si>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</si>
  <si>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</si>
  <si>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</si>
  <si>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</si>
  <si>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</si>
  <si>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</si>
  <si>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</si>
  <si>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</si>
  <si>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</si>
  <si>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</si>
  <si>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</si>
  <si>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</si>
  <si>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</si>
  <si>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</si>
  <si>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</si>
  <si>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</si>
  <si>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</si>
  <si>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</si>
  <si>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</si>
  <si>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</si>
  <si>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</si>
  <si>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</si>
  <si>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</si>
  <si>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</si>
  <si>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</si>
  <si>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</si>
  <si>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</si>
  <si>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</si>
  <si>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</si>
  <si>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</si>
  <si>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</si>
  <si>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</si>
  <si>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</si>
  <si>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</si>
  <si>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</si>
  <si>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</si>
  <si>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</si>
  <si>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</si>
  <si>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</si>
  <si>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</si>
  <si>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</si>
  <si>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</si>
  <si>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</si>
  <si>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</si>
  <si>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</si>
  <si>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</si>
  <si>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</si>
  <si>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</si>
  <si>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</si>
  <si>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</si>
  <si>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</si>
  <si>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</si>
  <si>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</si>
  <si>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</si>
  <si>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Réalisé  Q3 2025</t>
  </si>
  <si>
    <t>Peinture</t>
  </si>
  <si>
    <t>Q3</t>
  </si>
  <si>
    <t>476</t>
  </si>
  <si>
    <t>LAR</t>
  </si>
  <si>
    <t>5k audit claims</t>
  </si>
  <si>
    <t>Linde 1 an ???</t>
  </si>
  <si>
    <t>party noel</t>
  </si>
  <si>
    <t>REER - comité paritaire - Centraide payé par Complexe en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</si>
</sst>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89">
    <xf numFmtId="0" fontId="0" fillId="0" borderId="0"/>
    <xf numFmtId="9" fontId="108" fillId="0" borderId="0" applyFont="0" applyFill="0" applyBorder="0" applyAlignment="0" applyProtection="0"/>
    <xf numFmtId="0" fontId="71" fillId="0" borderId="1"/>
    <xf numFmtId="0" fontId="70" fillId="0" borderId="1"/>
    <xf numFmtId="9" fontId="70" fillId="0" borderId="1" applyFont="0" applyFill="0" applyBorder="0" applyAlignment="0" applyProtection="0"/>
    <xf numFmtId="0" fontId="69" fillId="0" borderId="1"/>
    <xf numFmtId="0" fontId="68" fillId="0" borderId="1"/>
    <xf numFmtId="0" fontId="67" fillId="0" borderId="1"/>
    <xf numFmtId="0" fontId="66" fillId="0" borderId="1"/>
    <xf numFmtId="0" fontId="65" fillId="0" borderId="1"/>
    <xf numFmtId="0" fontId="108" fillId="0" borderId="1"/>
    <xf numFmtId="0" fontId="63" fillId="0" borderId="1"/>
    <xf numFmtId="0" fontId="62" fillId="0" borderId="1"/>
    <xf numFmtId="0" fontId="61" fillId="0" borderId="1"/>
    <xf numFmtId="0" fontId="58" fillId="0" borderId="1"/>
    <xf numFmtId="0" fontId="57" fillId="0" borderId="1"/>
    <xf numFmtId="9" fontId="108" fillId="0" borderId="1" applyFont="0" applyFill="0" applyBorder="0" applyAlignment="0" applyProtection="0"/>
    <xf numFmtId="0" fontId="57" fillId="0" borderId="1"/>
    <xf numFmtId="9" fontId="57" fillId="0" borderId="1" applyFont="0" applyFill="0" applyBorder="0" applyAlignment="0" applyProtection="0"/>
    <xf numFmtId="0" fontId="143" fillId="0" borderId="1"/>
    <xf numFmtId="0" fontId="144" fillId="0" borderId="1"/>
    <xf numFmtId="0" fontId="56" fillId="0" borderId="1"/>
    <xf numFmtId="0" fontId="55" fillId="0" borderId="1"/>
    <xf numFmtId="0" fontId="54" fillId="0" borderId="1"/>
    <xf numFmtId="0" fontId="54" fillId="0" borderId="1"/>
    <xf numFmtId="9" fontId="54" fillId="0" borderId="1" applyFont="0" applyFill="0" applyBorder="0" applyAlignment="0" applyProtection="0"/>
    <xf numFmtId="0" fontId="54" fillId="0" borderId="1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4" fillId="0" borderId="1"/>
    <xf numFmtId="9" fontId="44" fillId="0" borderId="1" applyFont="0" applyFill="0" applyBorder="0" applyAlignment="0" applyProtection="0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44" fontId="39" fillId="0" borderId="1" applyFont="0" applyFill="0" applyBorder="0" applyAlignment="0" applyProtection="0"/>
    <xf numFmtId="0" fontId="38" fillId="0" borderId="1"/>
    <xf numFmtId="0" fontId="37" fillId="0" borderId="1"/>
    <xf numFmtId="0" fontId="36" fillId="0" borderId="1"/>
    <xf numFmtId="0" fontId="34" fillId="0" borderId="1"/>
    <xf numFmtId="0" fontId="33" fillId="0" borderId="1"/>
    <xf numFmtId="0" fontId="32" fillId="0" borderId="1"/>
    <xf numFmtId="0" fontId="29" fillId="0" borderId="1"/>
    <xf numFmtId="0" fontId="28" fillId="0" borderId="1"/>
    <xf numFmtId="0" fontId="27" fillId="0" borderId="1"/>
    <xf numFmtId="0" fontId="26" fillId="0" borderId="1"/>
    <xf numFmtId="0" fontId="25" fillId="0" borderId="1"/>
    <xf numFmtId="164" fontId="157" fillId="0" borderId="0" applyFont="0" applyFill="0" applyBorder="0" applyAlignment="0" applyProtection="0"/>
    <xf numFmtId="0" fontId="121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8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7">
    <xf numFmtId="0" fontId="0" fillId="0" borderId="0" xfId="0"/>
    <xf numFmtId="0" fontId="72" fillId="0" borderId="0" xfId="0" applyFont="1"/>
    <xf numFmtId="0" fontId="73" fillId="0" borderId="0" xfId="0" applyFont="1"/>
    <xf numFmtId="0" fontId="73" fillId="2" borderId="1" xfId="0" applyFont="1" applyFill="1" applyBorder="1" applyAlignment="1">
      <alignment horizontal="center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75" fillId="0" borderId="0" xfId="0" applyFont="1" applyAlignment="1">
      <alignment horizontal="right"/>
    </xf>
    <xf numFmtId="0" fontId="74" fillId="0" borderId="0" xfId="0" applyFont="1"/>
    <xf numFmtId="0" fontId="76" fillId="0" borderId="2" xfId="0" applyFont="1" applyBorder="1"/>
    <xf numFmtId="0" fontId="78" fillId="0" borderId="4" xfId="0" applyFont="1" applyBorder="1"/>
    <xf numFmtId="0" fontId="76" fillId="0" borderId="6" xfId="0" applyFont="1" applyBorder="1"/>
    <xf numFmtId="0" fontId="78" fillId="0" borderId="6" xfId="0" applyFont="1" applyBorder="1"/>
    <xf numFmtId="0" fontId="78" fillId="3" borderId="8" xfId="0" applyFont="1" applyFill="1" applyBorder="1"/>
    <xf numFmtId="0" fontId="78" fillId="3" borderId="10" xfId="0" applyFont="1" applyFill="1" applyBorder="1"/>
    <xf numFmtId="0" fontId="77" fillId="0" borderId="6" xfId="0" applyFont="1" applyBorder="1"/>
    <xf numFmtId="167" fontId="73" fillId="0" borderId="0" xfId="0" applyNumberFormat="1" applyFont="1"/>
    <xf numFmtId="0" fontId="73" fillId="0" borderId="6" xfId="0" applyFont="1" applyBorder="1"/>
    <xf numFmtId="168" fontId="73" fillId="0" borderId="0" xfId="0" applyNumberFormat="1" applyFont="1"/>
    <xf numFmtId="0" fontId="75" fillId="0" borderId="0" xfId="0" applyFont="1"/>
    <xf numFmtId="0" fontId="80" fillId="0" borderId="0" xfId="0" applyFont="1" applyAlignment="1">
      <alignment horizontal="center" vertical="center"/>
    </xf>
    <xf numFmtId="3" fontId="75" fillId="0" borderId="0" xfId="0" applyNumberFormat="1" applyFont="1"/>
    <xf numFmtId="0" fontId="80" fillId="0" borderId="0" xfId="0" applyFont="1"/>
    <xf numFmtId="169" fontId="81" fillId="0" borderId="0" xfId="0" applyNumberFormat="1" applyFont="1" applyAlignment="1">
      <alignment horizontal="left"/>
    </xf>
    <xf numFmtId="0" fontId="81" fillId="0" borderId="0" xfId="0" applyFont="1"/>
    <xf numFmtId="0" fontId="82" fillId="0" borderId="0" xfId="0" applyFont="1"/>
    <xf numFmtId="0" fontId="83" fillId="0" borderId="0" xfId="0" applyFont="1"/>
    <xf numFmtId="37" fontId="84" fillId="3" borderId="14" xfId="0" applyNumberFormat="1" applyFont="1" applyFill="1" applyBorder="1"/>
    <xf numFmtId="3" fontId="84" fillId="3" borderId="14" xfId="0" applyNumberFormat="1" applyFont="1" applyFill="1" applyBorder="1"/>
    <xf numFmtId="37" fontId="84" fillId="3" borderId="9" xfId="0" applyNumberFormat="1" applyFont="1" applyFill="1" applyBorder="1"/>
    <xf numFmtId="37" fontId="84" fillId="3" borderId="8" xfId="0" applyNumberFormat="1" applyFont="1" applyFill="1" applyBorder="1"/>
    <xf numFmtId="171" fontId="84" fillId="3" borderId="14" xfId="0" applyNumberFormat="1" applyFont="1" applyFill="1" applyBorder="1"/>
    <xf numFmtId="0" fontId="84" fillId="3" borderId="10" xfId="0" applyFont="1" applyFill="1" applyBorder="1"/>
    <xf numFmtId="0" fontId="84" fillId="3" borderId="11" xfId="0" applyFont="1" applyFill="1" applyBorder="1"/>
    <xf numFmtId="170" fontId="84" fillId="3" borderId="10" xfId="0" applyNumberFormat="1" applyFont="1" applyFill="1" applyBorder="1"/>
    <xf numFmtId="170" fontId="84" fillId="3" borderId="11" xfId="0" applyNumberFormat="1" applyFont="1" applyFill="1" applyBorder="1"/>
    <xf numFmtId="0" fontId="84" fillId="4" borderId="1" xfId="0" applyFont="1" applyFill="1" applyBorder="1"/>
    <xf numFmtId="0" fontId="83" fillId="0" borderId="0" xfId="0" applyFont="1" applyAlignment="1">
      <alignment horizontal="right"/>
    </xf>
    <xf numFmtId="37" fontId="83" fillId="0" borderId="0" xfId="0" applyNumberFormat="1" applyFont="1"/>
    <xf numFmtId="0" fontId="84" fillId="3" borderId="16" xfId="0" applyFont="1" applyFill="1" applyBorder="1"/>
    <xf numFmtId="0" fontId="84" fillId="3" borderId="17" xfId="0" applyFont="1" applyFill="1" applyBorder="1" applyAlignment="1">
      <alignment horizontal="center"/>
    </xf>
    <xf numFmtId="170" fontId="84" fillId="3" borderId="17" xfId="0" applyNumberFormat="1" applyFont="1" applyFill="1" applyBorder="1"/>
    <xf numFmtId="37" fontId="84" fillId="3" borderId="18" xfId="0" applyNumberFormat="1" applyFont="1" applyFill="1" applyBorder="1"/>
    <xf numFmtId="0" fontId="84" fillId="3" borderId="16" xfId="0" applyFont="1" applyFill="1" applyBorder="1" applyAlignment="1">
      <alignment horizontal="center"/>
    </xf>
    <xf numFmtId="0" fontId="83" fillId="3" borderId="13" xfId="0" applyFont="1" applyFill="1" applyBorder="1"/>
    <xf numFmtId="0" fontId="83" fillId="3" borderId="16" xfId="0" applyFont="1" applyFill="1" applyBorder="1"/>
    <xf numFmtId="37" fontId="84" fillId="0" borderId="0" xfId="0" applyNumberFormat="1" applyFont="1"/>
    <xf numFmtId="37" fontId="84" fillId="3" borderId="19" xfId="0" applyNumberFormat="1" applyFont="1" applyFill="1" applyBorder="1"/>
    <xf numFmtId="0" fontId="83" fillId="4" borderId="1" xfId="0" applyFont="1" applyFill="1" applyBorder="1"/>
    <xf numFmtId="37" fontId="84" fillId="4" borderId="15" xfId="0" applyNumberFormat="1" applyFont="1" applyFill="1" applyBorder="1"/>
    <xf numFmtId="0" fontId="83" fillId="4" borderId="12" xfId="0" applyFont="1" applyFill="1" applyBorder="1"/>
    <xf numFmtId="0" fontId="83" fillId="4" borderId="13" xfId="0" applyFont="1" applyFill="1" applyBorder="1"/>
    <xf numFmtId="0" fontId="83" fillId="4" borderId="22" xfId="0" applyFont="1" applyFill="1" applyBorder="1"/>
    <xf numFmtId="37" fontId="84" fillId="4" borderId="19" xfId="0" applyNumberFormat="1" applyFont="1" applyFill="1" applyBorder="1"/>
    <xf numFmtId="0" fontId="87" fillId="0" borderId="0" xfId="0" applyFont="1"/>
    <xf numFmtId="0" fontId="88" fillId="0" borderId="0" xfId="0" applyFont="1"/>
    <xf numFmtId="37" fontId="88" fillId="0" borderId="0" xfId="0" applyNumberFormat="1" applyFont="1"/>
    <xf numFmtId="0" fontId="84" fillId="0" borderId="0" xfId="0" applyFont="1"/>
    <xf numFmtId="37" fontId="81" fillId="0" borderId="0" xfId="0" applyNumberFormat="1" applyFont="1"/>
    <xf numFmtId="37" fontId="84" fillId="4" borderId="14" xfId="0" applyNumberFormat="1" applyFont="1" applyFill="1" applyBorder="1"/>
    <xf numFmtId="37" fontId="84" fillId="4" borderId="9" xfId="0" applyNumberFormat="1" applyFont="1" applyFill="1" applyBorder="1"/>
    <xf numFmtId="37" fontId="84" fillId="4" borderId="8" xfId="0" applyNumberFormat="1" applyFont="1" applyFill="1" applyBorder="1"/>
    <xf numFmtId="170" fontId="84" fillId="4" borderId="8" xfId="0" applyNumberFormat="1" applyFont="1" applyFill="1" applyBorder="1"/>
    <xf numFmtId="37" fontId="84" fillId="4" borderId="22" xfId="0" applyNumberFormat="1" applyFont="1" applyFill="1" applyBorder="1"/>
    <xf numFmtId="170" fontId="84" fillId="4" borderId="19" xfId="0" applyNumberFormat="1" applyFont="1" applyFill="1" applyBorder="1"/>
    <xf numFmtId="37" fontId="84" fillId="4" borderId="13" xfId="0" applyNumberFormat="1" applyFont="1" applyFill="1" applyBorder="1"/>
    <xf numFmtId="39" fontId="84" fillId="4" borderId="22" xfId="0" applyNumberFormat="1" applyFont="1" applyFill="1" applyBorder="1"/>
    <xf numFmtId="37" fontId="84" fillId="4" borderId="24" xfId="0" applyNumberFormat="1" applyFont="1" applyFill="1" applyBorder="1"/>
    <xf numFmtId="171" fontId="84" fillId="4" borderId="24" xfId="0" applyNumberFormat="1" applyFont="1" applyFill="1" applyBorder="1"/>
    <xf numFmtId="37" fontId="84" fillId="4" borderId="25" xfId="0" applyNumberFormat="1" applyFont="1" applyFill="1" applyBorder="1"/>
    <xf numFmtId="37" fontId="84" fillId="4" borderId="23" xfId="0" applyNumberFormat="1" applyFont="1" applyFill="1" applyBorder="1"/>
    <xf numFmtId="170" fontId="84" fillId="3" borderId="8" xfId="0" applyNumberFormat="1" applyFont="1" applyFill="1" applyBorder="1"/>
    <xf numFmtId="170" fontId="84" fillId="3" borderId="14" xfId="0" applyNumberFormat="1" applyFont="1" applyFill="1" applyBorder="1"/>
    <xf numFmtId="170" fontId="84" fillId="3" borderId="26" xfId="0" applyNumberFormat="1" applyFont="1" applyFill="1" applyBorder="1"/>
    <xf numFmtId="37" fontId="84" fillId="3" borderId="27" xfId="0" applyNumberFormat="1" applyFont="1" applyFill="1" applyBorder="1"/>
    <xf numFmtId="37" fontId="84" fillId="3" borderId="29" xfId="0" applyNumberFormat="1" applyFont="1" applyFill="1" applyBorder="1"/>
    <xf numFmtId="171" fontId="84" fillId="3" borderId="29" xfId="0" applyNumberFormat="1" applyFont="1" applyFill="1" applyBorder="1"/>
    <xf numFmtId="37" fontId="84" fillId="3" borderId="30" xfId="0" applyNumberFormat="1" applyFont="1" applyFill="1" applyBorder="1"/>
    <xf numFmtId="37" fontId="84" fillId="3" borderId="28" xfId="0" applyNumberFormat="1" applyFont="1" applyFill="1" applyBorder="1"/>
    <xf numFmtId="0" fontId="83" fillId="3" borderId="10" xfId="0" applyFont="1" applyFill="1" applyBorder="1"/>
    <xf numFmtId="0" fontId="91" fillId="0" borderId="0" xfId="0" applyFont="1"/>
    <xf numFmtId="0" fontId="80" fillId="0" borderId="0" xfId="0" applyFont="1" applyAlignment="1">
      <alignment horizontal="right" vertical="center"/>
    </xf>
    <xf numFmtId="0" fontId="92" fillId="3" borderId="22" xfId="0" applyFont="1" applyFill="1" applyBorder="1"/>
    <xf numFmtId="37" fontId="92" fillId="3" borderId="32" xfId="0" applyNumberFormat="1" applyFont="1" applyFill="1" applyBorder="1"/>
    <xf numFmtId="37" fontId="92" fillId="3" borderId="33" xfId="0" applyNumberFormat="1" applyFont="1" applyFill="1" applyBorder="1"/>
    <xf numFmtId="37" fontId="92" fillId="3" borderId="22" xfId="0" applyNumberFormat="1" applyFont="1" applyFill="1" applyBorder="1"/>
    <xf numFmtId="170" fontId="92" fillId="3" borderId="22" xfId="0" applyNumberFormat="1" applyFont="1" applyFill="1" applyBorder="1"/>
    <xf numFmtId="37" fontId="92" fillId="3" borderId="34" xfId="0" applyNumberFormat="1" applyFont="1" applyFill="1" applyBorder="1"/>
    <xf numFmtId="37" fontId="86" fillId="0" borderId="35" xfId="0" applyNumberFormat="1" applyFont="1" applyBorder="1"/>
    <xf numFmtId="0" fontId="92" fillId="3" borderId="17" xfId="0" applyFont="1" applyFill="1" applyBorder="1"/>
    <xf numFmtId="170" fontId="92" fillId="3" borderId="17" xfId="0" applyNumberFormat="1" applyFont="1" applyFill="1" applyBorder="1"/>
    <xf numFmtId="37" fontId="92" fillId="3" borderId="21" xfId="0" applyNumberFormat="1" applyFont="1" applyFill="1" applyBorder="1"/>
    <xf numFmtId="170" fontId="92" fillId="3" borderId="20" xfId="0" applyNumberFormat="1" applyFont="1" applyFill="1" applyBorder="1"/>
    <xf numFmtId="0" fontId="92" fillId="3" borderId="20" xfId="0" applyFont="1" applyFill="1" applyBorder="1"/>
    <xf numFmtId="37" fontId="92" fillId="3" borderId="17" xfId="0" applyNumberFormat="1" applyFont="1" applyFill="1" applyBorder="1"/>
    <xf numFmtId="0" fontId="92" fillId="3" borderId="36" xfId="0" applyFont="1" applyFill="1" applyBorder="1"/>
    <xf numFmtId="43" fontId="81" fillId="0" borderId="0" xfId="0" applyNumberFormat="1" applyFont="1"/>
    <xf numFmtId="43" fontId="91" fillId="0" borderId="0" xfId="0" applyNumberFormat="1" applyFont="1"/>
    <xf numFmtId="170" fontId="86" fillId="0" borderId="35" xfId="0" applyNumberFormat="1" applyFont="1" applyBorder="1"/>
    <xf numFmtId="171" fontId="92" fillId="3" borderId="17" xfId="0" applyNumberFormat="1" applyFont="1" applyFill="1" applyBorder="1"/>
    <xf numFmtId="37" fontId="92" fillId="3" borderId="20" xfId="0" applyNumberFormat="1" applyFont="1" applyFill="1" applyBorder="1"/>
    <xf numFmtId="37" fontId="92" fillId="3" borderId="36" xfId="0" applyNumberFormat="1" applyFont="1" applyFill="1" applyBorder="1"/>
    <xf numFmtId="37" fontId="91" fillId="0" borderId="0" xfId="0" applyNumberFormat="1" applyFont="1"/>
    <xf numFmtId="168" fontId="91" fillId="0" borderId="0" xfId="0" applyNumberFormat="1" applyFont="1"/>
    <xf numFmtId="0" fontId="86" fillId="3" borderId="17" xfId="0" applyFont="1" applyFill="1" applyBorder="1"/>
    <xf numFmtId="0" fontId="91" fillId="4" borderId="1" xfId="0" applyFont="1" applyFill="1" applyBorder="1"/>
    <xf numFmtId="0" fontId="86" fillId="0" borderId="35" xfId="0" applyFont="1" applyBorder="1"/>
    <xf numFmtId="37" fontId="86" fillId="4" borderId="37" xfId="0" applyNumberFormat="1" applyFont="1" applyFill="1" applyBorder="1"/>
    <xf numFmtId="0" fontId="92" fillId="4" borderId="24" xfId="0" applyFont="1" applyFill="1" applyBorder="1"/>
    <xf numFmtId="37" fontId="92" fillId="4" borderId="24" xfId="0" applyNumberFormat="1" applyFont="1" applyFill="1" applyBorder="1"/>
    <xf numFmtId="170" fontId="86" fillId="3" borderId="20" xfId="0" applyNumberFormat="1" applyFont="1" applyFill="1" applyBorder="1"/>
    <xf numFmtId="170" fontId="86" fillId="3" borderId="17" xfId="0" applyNumberFormat="1" applyFont="1" applyFill="1" applyBorder="1"/>
    <xf numFmtId="37" fontId="86" fillId="3" borderId="36" xfId="0" applyNumberFormat="1" applyFont="1" applyFill="1" applyBorder="1"/>
    <xf numFmtId="0" fontId="86" fillId="4" borderId="24" xfId="0" applyFont="1" applyFill="1" applyBorder="1"/>
    <xf numFmtId="37" fontId="86" fillId="4" borderId="24" xfId="0" applyNumberFormat="1" applyFont="1" applyFill="1" applyBorder="1"/>
    <xf numFmtId="37" fontId="86" fillId="4" borderId="38" xfId="0" applyNumberFormat="1" applyFont="1" applyFill="1" applyBorder="1"/>
    <xf numFmtId="37" fontId="86" fillId="4" borderId="1" xfId="0" applyNumberFormat="1" applyFont="1" applyFill="1" applyBorder="1"/>
    <xf numFmtId="170" fontId="86" fillId="4" borderId="1" xfId="0" applyNumberFormat="1" applyFont="1" applyFill="1" applyBorder="1"/>
    <xf numFmtId="170" fontId="86" fillId="4" borderId="38" xfId="0" applyNumberFormat="1" applyFont="1" applyFill="1" applyBorder="1"/>
    <xf numFmtId="170" fontId="86" fillId="4" borderId="24" xfId="0" applyNumberFormat="1" applyFont="1" applyFill="1" applyBorder="1"/>
    <xf numFmtId="37" fontId="86" fillId="4" borderId="42" xfId="0" applyNumberFormat="1" applyFont="1" applyFill="1" applyBorder="1"/>
    <xf numFmtId="39" fontId="86" fillId="0" borderId="0" xfId="0" applyNumberFormat="1" applyFont="1"/>
    <xf numFmtId="37" fontId="91" fillId="0" borderId="35" xfId="0" applyNumberFormat="1" applyFont="1" applyBorder="1"/>
    <xf numFmtId="0" fontId="91" fillId="0" borderId="35" xfId="0" applyFont="1" applyBorder="1"/>
    <xf numFmtId="0" fontId="91" fillId="0" borderId="40" xfId="0" applyFont="1" applyBorder="1"/>
    <xf numFmtId="0" fontId="93" fillId="0" borderId="0" xfId="0" applyFont="1"/>
    <xf numFmtId="37" fontId="93" fillId="0" borderId="0" xfId="0" applyNumberFormat="1" applyFont="1"/>
    <xf numFmtId="37" fontId="94" fillId="0" borderId="0" xfId="0" applyNumberFormat="1" applyFont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6" fillId="4" borderId="1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169" fontId="97" fillId="4" borderId="1" xfId="0" applyNumberFormat="1" applyFont="1" applyFill="1" applyBorder="1" applyAlignment="1">
      <alignment horizontal="right"/>
    </xf>
    <xf numFmtId="0" fontId="93" fillId="4" borderId="1" xfId="0" applyFont="1" applyFill="1" applyBorder="1" applyAlignment="1">
      <alignment horizontal="center"/>
    </xf>
    <xf numFmtId="0" fontId="91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7" fillId="4" borderId="1" xfId="0" applyFont="1" applyFill="1" applyBorder="1"/>
    <xf numFmtId="170" fontId="91" fillId="4" borderId="1" xfId="0" applyNumberFormat="1" applyFont="1" applyFill="1" applyBorder="1"/>
    <xf numFmtId="9" fontId="91" fillId="4" borderId="1" xfId="0" applyNumberFormat="1" applyFont="1" applyFill="1" applyBorder="1"/>
    <xf numFmtId="170" fontId="93" fillId="4" borderId="1" xfId="0" applyNumberFormat="1" applyFont="1" applyFill="1" applyBorder="1"/>
    <xf numFmtId="0" fontId="98" fillId="4" borderId="1" xfId="0" applyFont="1" applyFill="1" applyBorder="1"/>
    <xf numFmtId="0" fontId="96" fillId="4" borderId="1" xfId="0" applyFont="1" applyFill="1" applyBorder="1" applyAlignment="1">
      <alignment horizontal="center"/>
    </xf>
    <xf numFmtId="169" fontId="91" fillId="4" borderId="1" xfId="0" applyNumberFormat="1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left"/>
    </xf>
    <xf numFmtId="0" fontId="100" fillId="4" borderId="1" xfId="0" applyFont="1" applyFill="1" applyBorder="1"/>
    <xf numFmtId="0" fontId="101" fillId="0" borderId="0" xfId="0" applyFont="1" applyAlignment="1">
      <alignment horizontal="center" vertical="top"/>
    </xf>
    <xf numFmtId="0" fontId="102" fillId="6" borderId="43" xfId="0" applyFont="1" applyFill="1" applyBorder="1" applyAlignment="1">
      <alignment horizontal="center" vertical="center" wrapText="1"/>
    </xf>
    <xf numFmtId="1" fontId="73" fillId="0" borderId="0" xfId="0" applyNumberFormat="1" applyFont="1" applyAlignment="1">
      <alignment horizontal="left" vertical="top"/>
    </xf>
    <xf numFmtId="49" fontId="73" fillId="0" borderId="0" xfId="0" applyNumberFormat="1" applyFont="1" applyAlignment="1">
      <alignment horizontal="left" vertical="top"/>
    </xf>
    <xf numFmtId="4" fontId="73" fillId="0" borderId="0" xfId="0" applyNumberFormat="1" applyFont="1" applyAlignment="1">
      <alignment horizontal="center" vertical="top"/>
    </xf>
    <xf numFmtId="0" fontId="73" fillId="7" borderId="1" xfId="0" applyFont="1" applyFill="1" applyBorder="1" applyAlignment="1">
      <alignment horizontal="center"/>
    </xf>
    <xf numFmtId="0" fontId="73" fillId="5" borderId="1" xfId="0" applyFont="1" applyFill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2" fillId="9" borderId="1" xfId="0" applyFont="1" applyFill="1" applyBorder="1"/>
    <xf numFmtId="49" fontId="105" fillId="0" borderId="48" xfId="0" applyNumberFormat="1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103" fillId="0" borderId="0" xfId="0" applyFont="1"/>
    <xf numFmtId="0" fontId="73" fillId="9" borderId="1" xfId="0" applyFont="1" applyFill="1" applyBorder="1"/>
    <xf numFmtId="0" fontId="105" fillId="0" borderId="48" xfId="0" applyFont="1" applyBorder="1" applyAlignment="1">
      <alignment horizontal="left" vertical="top"/>
    </xf>
    <xf numFmtId="39" fontId="104" fillId="0" borderId="48" xfId="0" applyNumberFormat="1" applyFont="1" applyBorder="1" applyAlignment="1">
      <alignment horizontal="left" vertical="top"/>
    </xf>
    <xf numFmtId="39" fontId="104" fillId="10" borderId="49" xfId="0" applyNumberFormat="1" applyFont="1" applyFill="1" applyBorder="1" applyAlignment="1">
      <alignment horizontal="left" vertical="top"/>
    </xf>
    <xf numFmtId="0" fontId="105" fillId="10" borderId="49" xfId="0" applyFont="1" applyFill="1" applyBorder="1" applyAlignment="1">
      <alignment horizontal="left" vertical="top"/>
    </xf>
    <xf numFmtId="39" fontId="104" fillId="0" borderId="44" xfId="0" applyNumberFormat="1" applyFont="1" applyBorder="1" applyAlignment="1">
      <alignment horizontal="left" vertical="top"/>
    </xf>
    <xf numFmtId="0" fontId="105" fillId="0" borderId="44" xfId="0" applyFont="1" applyBorder="1" applyAlignment="1">
      <alignment horizontal="left" vertical="top"/>
    </xf>
    <xf numFmtId="1" fontId="105" fillId="0" borderId="48" xfId="0" applyNumberFormat="1" applyFont="1" applyBorder="1" applyAlignment="1">
      <alignment horizontal="left" vertical="top"/>
    </xf>
    <xf numFmtId="49" fontId="104" fillId="0" borderId="48" xfId="0" applyNumberFormat="1" applyFont="1" applyBorder="1" applyAlignment="1">
      <alignment horizontal="left" vertical="top"/>
    </xf>
    <xf numFmtId="1" fontId="105" fillId="10" borderId="49" xfId="0" applyNumberFormat="1" applyFont="1" applyFill="1" applyBorder="1" applyAlignment="1">
      <alignment horizontal="left" vertical="top"/>
    </xf>
    <xf numFmtId="49" fontId="104" fillId="10" borderId="49" xfId="0" applyNumberFormat="1" applyFont="1" applyFill="1" applyBorder="1" applyAlignment="1">
      <alignment horizontal="left" vertical="top"/>
    </xf>
    <xf numFmtId="0" fontId="104" fillId="10" borderId="49" xfId="0" applyFont="1" applyFill="1" applyBorder="1" applyAlignment="1">
      <alignment horizontal="left" vertical="top"/>
    </xf>
    <xf numFmtId="0" fontId="104" fillId="0" borderId="44" xfId="0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4" fillId="0" borderId="45" xfId="0" applyFont="1" applyBorder="1" applyAlignment="1">
      <alignment horizontal="left" vertical="top"/>
    </xf>
    <xf numFmtId="0" fontId="104" fillId="8" borderId="49" xfId="0" applyFont="1" applyFill="1" applyBorder="1" applyAlignment="1">
      <alignment horizontal="left" vertical="top"/>
    </xf>
    <xf numFmtId="3" fontId="83" fillId="0" borderId="52" xfId="0" applyNumberFormat="1" applyFont="1" applyBorder="1"/>
    <xf numFmtId="0" fontId="83" fillId="0" borderId="1" xfId="0" applyFont="1" applyBorder="1"/>
    <xf numFmtId="3" fontId="83" fillId="0" borderId="1" xfId="0" applyNumberFormat="1" applyFont="1" applyBorder="1"/>
    <xf numFmtId="3" fontId="83" fillId="0" borderId="15" xfId="0" applyNumberFormat="1" applyFont="1" applyBorder="1"/>
    <xf numFmtId="3" fontId="83" fillId="0" borderId="53" xfId="0" applyNumberFormat="1" applyFont="1" applyBorder="1"/>
    <xf numFmtId="3" fontId="83" fillId="0" borderId="12" xfId="0" applyNumberFormat="1" applyFont="1" applyBorder="1"/>
    <xf numFmtId="3" fontId="83" fillId="0" borderId="54" xfId="0" applyNumberFormat="1" applyFont="1" applyBorder="1"/>
    <xf numFmtId="3" fontId="83" fillId="0" borderId="55" xfId="0" applyNumberFormat="1" applyFont="1" applyBorder="1"/>
    <xf numFmtId="2" fontId="83" fillId="0" borderId="1" xfId="0" applyNumberFormat="1" applyFont="1" applyBorder="1"/>
    <xf numFmtId="3" fontId="83" fillId="0" borderId="56" xfId="0" applyNumberFormat="1" applyFont="1" applyBorder="1"/>
    <xf numFmtId="0" fontId="73" fillId="0" borderId="0" xfId="0" applyFont="1" applyAlignment="1">
      <alignment horizontal="center"/>
    </xf>
    <xf numFmtId="37" fontId="83" fillId="0" borderId="55" xfId="0" applyNumberFormat="1" applyFont="1" applyBorder="1"/>
    <xf numFmtId="171" fontId="83" fillId="0" borderId="55" xfId="0" applyNumberFormat="1" applyFont="1" applyBorder="1"/>
    <xf numFmtId="170" fontId="83" fillId="0" borderId="52" xfId="0" applyNumberFormat="1" applyFont="1" applyBorder="1"/>
    <xf numFmtId="0" fontId="83" fillId="0" borderId="55" xfId="0" applyFont="1" applyBorder="1" applyAlignment="1">
      <alignment horizontal="center"/>
    </xf>
    <xf numFmtId="0" fontId="83" fillId="0" borderId="52" xfId="0" applyFont="1" applyBorder="1" applyAlignment="1">
      <alignment horizontal="center"/>
    </xf>
    <xf numFmtId="170" fontId="83" fillId="0" borderId="55" xfId="0" applyNumberFormat="1" applyFont="1" applyBorder="1"/>
    <xf numFmtId="37" fontId="83" fillId="0" borderId="52" xfId="0" applyNumberFormat="1" applyFont="1" applyBorder="1"/>
    <xf numFmtId="37" fontId="83" fillId="0" borderId="1" xfId="0" applyNumberFormat="1" applyFont="1" applyBorder="1"/>
    <xf numFmtId="37" fontId="84" fillId="0" borderId="24" xfId="0" applyNumberFormat="1" applyFont="1" applyBorder="1"/>
    <xf numFmtId="37" fontId="83" fillId="0" borderId="57" xfId="0" applyNumberFormat="1" applyFont="1" applyBorder="1"/>
    <xf numFmtId="37" fontId="84" fillId="0" borderId="58" xfId="0" applyNumberFormat="1" applyFont="1" applyBorder="1"/>
    <xf numFmtId="37" fontId="83" fillId="0" borderId="58" xfId="0" applyNumberFormat="1" applyFont="1" applyBorder="1"/>
    <xf numFmtId="37" fontId="83" fillId="0" borderId="60" xfId="0" applyNumberFormat="1" applyFont="1" applyBorder="1"/>
    <xf numFmtId="37" fontId="83" fillId="11" borderId="1" xfId="0" applyNumberFormat="1" applyFont="1" applyFill="1" applyBorder="1"/>
    <xf numFmtId="170" fontId="84" fillId="3" borderId="1" xfId="0" applyNumberFormat="1" applyFont="1" applyFill="1" applyBorder="1"/>
    <xf numFmtId="0" fontId="83" fillId="0" borderId="62" xfId="0" applyFont="1" applyBorder="1" applyAlignment="1">
      <alignment horizontal="center"/>
    </xf>
    <xf numFmtId="0" fontId="83" fillId="0" borderId="61" xfId="0" applyFont="1" applyBorder="1" applyAlignment="1">
      <alignment horizontal="center"/>
    </xf>
    <xf numFmtId="0" fontId="83" fillId="0" borderId="63" xfId="0" applyFont="1" applyBorder="1" applyAlignment="1">
      <alignment horizontal="center"/>
    </xf>
    <xf numFmtId="37" fontId="83" fillId="11" borderId="64" xfId="0" applyNumberFormat="1" applyFont="1" applyFill="1" applyBorder="1"/>
    <xf numFmtId="37" fontId="83" fillId="0" borderId="63" xfId="0" applyNumberFormat="1" applyFont="1" applyBorder="1"/>
    <xf numFmtId="170" fontId="83" fillId="0" borderId="1" xfId="0" applyNumberFormat="1" applyFont="1" applyBorder="1"/>
    <xf numFmtId="37" fontId="83" fillId="0" borderId="54" xfId="0" applyNumberFormat="1" applyFont="1" applyBorder="1"/>
    <xf numFmtId="0" fontId="83" fillId="0" borderId="54" xfId="0" applyFont="1" applyBorder="1" applyAlignment="1">
      <alignment horizontal="center"/>
    </xf>
    <xf numFmtId="170" fontId="86" fillId="0" borderId="58" xfId="0" applyNumberFormat="1" applyFont="1" applyBorder="1"/>
    <xf numFmtId="170" fontId="86" fillId="0" borderId="57" xfId="0" applyNumberFormat="1" applyFont="1" applyBorder="1"/>
    <xf numFmtId="170" fontId="86" fillId="0" borderId="65" xfId="0" applyNumberFormat="1" applyFont="1" applyBorder="1"/>
    <xf numFmtId="170" fontId="113" fillId="0" borderId="57" xfId="0" applyNumberFormat="1" applyFont="1" applyBorder="1"/>
    <xf numFmtId="37" fontId="92" fillId="3" borderId="66" xfId="0" applyNumberFormat="1" applyFont="1" applyFill="1" applyBorder="1"/>
    <xf numFmtId="37" fontId="92" fillId="3" borderId="67" xfId="0" applyNumberFormat="1" applyFont="1" applyFill="1" applyBorder="1"/>
    <xf numFmtId="0" fontId="91" fillId="0" borderId="1" xfId="0" applyFont="1" applyBorder="1"/>
    <xf numFmtId="3" fontId="83" fillId="11" borderId="69" xfId="0" applyNumberFormat="1" applyFont="1" applyFill="1" applyBorder="1"/>
    <xf numFmtId="3" fontId="83" fillId="11" borderId="70" xfId="0" applyNumberFormat="1" applyFont="1" applyFill="1" applyBorder="1"/>
    <xf numFmtId="171" fontId="84" fillId="0" borderId="24" xfId="0" applyNumberFormat="1" applyFont="1" applyBorder="1"/>
    <xf numFmtId="37" fontId="84" fillId="0" borderId="25" xfId="0" applyNumberFormat="1" applyFont="1" applyBorder="1"/>
    <xf numFmtId="37" fontId="84" fillId="0" borderId="23" xfId="0" applyNumberFormat="1" applyFont="1" applyBorder="1"/>
    <xf numFmtId="0" fontId="83" fillId="0" borderId="12" xfId="0" applyFont="1" applyBorder="1"/>
    <xf numFmtId="37" fontId="83" fillId="0" borderId="12" xfId="0" applyNumberFormat="1" applyFont="1" applyBorder="1"/>
    <xf numFmtId="37" fontId="83" fillId="0" borderId="15" xfId="0" applyNumberFormat="1" applyFont="1" applyBorder="1"/>
    <xf numFmtId="171" fontId="83" fillId="0" borderId="1" xfId="0" applyNumberFormat="1" applyFont="1" applyBorder="1"/>
    <xf numFmtId="170" fontId="83" fillId="0" borderId="15" xfId="0" applyNumberFormat="1" applyFont="1" applyBorder="1"/>
    <xf numFmtId="37" fontId="84" fillId="0" borderId="12" xfId="0" applyNumberFormat="1" applyFont="1" applyBorder="1"/>
    <xf numFmtId="171" fontId="84" fillId="0" borderId="1" xfId="0" applyNumberFormat="1" applyFont="1" applyBorder="1"/>
    <xf numFmtId="37" fontId="84" fillId="0" borderId="15" xfId="0" applyNumberFormat="1" applyFont="1" applyBorder="1"/>
    <xf numFmtId="37" fontId="84" fillId="0" borderId="1" xfId="0" applyNumberFormat="1" applyFont="1" applyBorder="1"/>
    <xf numFmtId="0" fontId="84" fillId="0" borderId="12" xfId="0" applyFont="1" applyBorder="1"/>
    <xf numFmtId="0" fontId="84" fillId="0" borderId="1" xfId="0" applyFont="1" applyBorder="1"/>
    <xf numFmtId="170" fontId="84" fillId="0" borderId="15" xfId="0" applyNumberFormat="1" applyFont="1" applyBorder="1"/>
    <xf numFmtId="170" fontId="84" fillId="0" borderId="12" xfId="0" applyNumberFormat="1" applyFont="1" applyBorder="1"/>
    <xf numFmtId="37" fontId="110" fillId="0" borderId="1" xfId="0" applyNumberFormat="1" applyFont="1" applyBorder="1"/>
    <xf numFmtId="0" fontId="92" fillId="0" borderId="1" xfId="0" applyFont="1" applyBorder="1"/>
    <xf numFmtId="37" fontId="86" fillId="0" borderId="37" xfId="0" applyNumberFormat="1" applyFont="1" applyBorder="1"/>
    <xf numFmtId="170" fontId="92" fillId="0" borderId="24" xfId="0" applyNumberFormat="1" applyFont="1" applyBorder="1"/>
    <xf numFmtId="0" fontId="92" fillId="0" borderId="24" xfId="0" applyFont="1" applyBorder="1"/>
    <xf numFmtId="37" fontId="92" fillId="0" borderId="38" xfId="0" applyNumberFormat="1" applyFont="1" applyBorder="1"/>
    <xf numFmtId="170" fontId="92" fillId="0" borderId="38" xfId="0" applyNumberFormat="1" applyFont="1" applyBorder="1"/>
    <xf numFmtId="37" fontId="92" fillId="0" borderId="24" xfId="0" applyNumberFormat="1" applyFont="1" applyBorder="1"/>
    <xf numFmtId="170" fontId="92" fillId="0" borderId="1" xfId="0" applyNumberFormat="1" applyFont="1" applyBorder="1"/>
    <xf numFmtId="37" fontId="92" fillId="0" borderId="39" xfId="0" applyNumberFormat="1" applyFont="1" applyBorder="1"/>
    <xf numFmtId="170" fontId="92" fillId="0" borderId="39" xfId="0" applyNumberFormat="1" applyFont="1" applyBorder="1"/>
    <xf numFmtId="37" fontId="86" fillId="0" borderId="40" xfId="0" applyNumberFormat="1" applyFont="1" applyBorder="1"/>
    <xf numFmtId="37" fontId="92" fillId="0" borderId="1" xfId="0" applyNumberFormat="1" applyFont="1" applyBorder="1"/>
    <xf numFmtId="0" fontId="83" fillId="0" borderId="1" xfId="0" applyFont="1" applyBorder="1" applyAlignment="1">
      <alignment horizontal="right"/>
    </xf>
    <xf numFmtId="0" fontId="83" fillId="0" borderId="70" xfId="0" applyFont="1" applyBorder="1"/>
    <xf numFmtId="0" fontId="83" fillId="0" borderId="72" xfId="0" applyFont="1" applyBorder="1"/>
    <xf numFmtId="0" fontId="83" fillId="0" borderId="12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3" fillId="0" borderId="15" xfId="0" applyFont="1" applyBorder="1" applyAlignment="1">
      <alignment horizontal="center"/>
    </xf>
    <xf numFmtId="0" fontId="83" fillId="0" borderId="57" xfId="0" applyFont="1" applyBorder="1" applyAlignment="1">
      <alignment horizontal="center"/>
    </xf>
    <xf numFmtId="0" fontId="84" fillId="3" borderId="73" xfId="0" applyFont="1" applyFill="1" applyBorder="1"/>
    <xf numFmtId="37" fontId="84" fillId="3" borderId="74" xfId="0" applyNumberFormat="1" applyFont="1" applyFill="1" applyBorder="1"/>
    <xf numFmtId="0" fontId="84" fillId="3" borderId="75" xfId="0" applyFont="1" applyFill="1" applyBorder="1"/>
    <xf numFmtId="170" fontId="84" fillId="3" borderId="76" xfId="0" applyNumberFormat="1" applyFont="1" applyFill="1" applyBorder="1"/>
    <xf numFmtId="0" fontId="84" fillId="0" borderId="72" xfId="0" applyFont="1" applyBorder="1"/>
    <xf numFmtId="170" fontId="83" fillId="0" borderId="15" xfId="1" applyNumberFormat="1" applyFont="1" applyFill="1" applyBorder="1"/>
    <xf numFmtId="170" fontId="84" fillId="0" borderId="57" xfId="0" applyNumberFormat="1" applyFont="1" applyBorder="1"/>
    <xf numFmtId="0" fontId="84" fillId="0" borderId="72" xfId="0" applyFont="1" applyBorder="1" applyAlignment="1">
      <alignment horizontal="left"/>
    </xf>
    <xf numFmtId="0" fontId="109" fillId="0" borderId="1" xfId="0" applyFont="1" applyBorder="1"/>
    <xf numFmtId="0" fontId="83" fillId="0" borderId="15" xfId="0" applyFont="1" applyBorder="1"/>
    <xf numFmtId="0" fontId="83" fillId="0" borderId="57" xfId="0" applyFont="1" applyBorder="1"/>
    <xf numFmtId="0" fontId="86" fillId="0" borderId="72" xfId="0" applyFont="1" applyBorder="1"/>
    <xf numFmtId="0" fontId="86" fillId="0" borderId="77" xfId="0" applyFont="1" applyBorder="1"/>
    <xf numFmtId="0" fontId="83" fillId="0" borderId="12" xfId="0" applyFont="1" applyBorder="1" applyAlignment="1">
      <alignment horizontal="right"/>
    </xf>
    <xf numFmtId="0" fontId="83" fillId="0" borderId="24" xfId="0" applyFont="1" applyBorder="1" applyAlignment="1">
      <alignment horizontal="right"/>
    </xf>
    <xf numFmtId="0" fontId="83" fillId="0" borderId="24" xfId="0" applyFont="1" applyBorder="1"/>
    <xf numFmtId="0" fontId="83" fillId="0" borderId="23" xfId="0" applyFont="1" applyBorder="1" applyAlignment="1">
      <alignment horizontal="right"/>
    </xf>
    <xf numFmtId="0" fontId="83" fillId="0" borderId="23" xfId="0" applyFont="1" applyBorder="1"/>
    <xf numFmtId="37" fontId="83" fillId="0" borderId="25" xfId="0" applyNumberFormat="1" applyFont="1" applyBorder="1"/>
    <xf numFmtId="0" fontId="83" fillId="0" borderId="22" xfId="0" applyFont="1" applyBorder="1" applyAlignment="1">
      <alignment horizontal="right"/>
    </xf>
    <xf numFmtId="0" fontId="83" fillId="0" borderId="22" xfId="0" applyFont="1" applyBorder="1"/>
    <xf numFmtId="0" fontId="83" fillId="0" borderId="13" xfId="0" applyFont="1" applyBorder="1" applyAlignment="1">
      <alignment horizontal="right"/>
    </xf>
    <xf numFmtId="0" fontId="83" fillId="0" borderId="13" xfId="0" applyFont="1" applyBorder="1"/>
    <xf numFmtId="37" fontId="83" fillId="0" borderId="19" xfId="0" applyNumberFormat="1" applyFont="1" applyBorder="1"/>
    <xf numFmtId="0" fontId="84" fillId="3" borderId="78" xfId="0" applyFont="1" applyFill="1" applyBorder="1"/>
    <xf numFmtId="37" fontId="84" fillId="3" borderId="60" xfId="0" applyNumberFormat="1" applyFont="1" applyFill="1" applyBorder="1"/>
    <xf numFmtId="0" fontId="86" fillId="0" borderId="79" xfId="0" applyFont="1" applyBorder="1"/>
    <xf numFmtId="0" fontId="84" fillId="0" borderId="15" xfId="0" applyFont="1" applyBorder="1"/>
    <xf numFmtId="0" fontId="84" fillId="0" borderId="57" xfId="0" applyFont="1" applyBorder="1"/>
    <xf numFmtId="37" fontId="84" fillId="3" borderId="59" xfId="0" applyNumberFormat="1" applyFont="1" applyFill="1" applyBorder="1"/>
    <xf numFmtId="0" fontId="84" fillId="3" borderId="80" xfId="0" applyFont="1" applyFill="1" applyBorder="1"/>
    <xf numFmtId="0" fontId="84" fillId="3" borderId="66" xfId="0" applyFont="1" applyFill="1" applyBorder="1"/>
    <xf numFmtId="37" fontId="84" fillId="3" borderId="81" xfId="0" applyNumberFormat="1" applyFont="1" applyFill="1" applyBorder="1"/>
    <xf numFmtId="0" fontId="84" fillId="3" borderId="82" xfId="0" applyFont="1" applyFill="1" applyBorder="1"/>
    <xf numFmtId="0" fontId="83" fillId="3" borderId="82" xfId="0" applyFont="1" applyFill="1" applyBorder="1"/>
    <xf numFmtId="0" fontId="83" fillId="3" borderId="66" xfId="0" applyFont="1" applyFill="1" applyBorder="1"/>
    <xf numFmtId="37" fontId="84" fillId="3" borderId="83" xfId="0" applyNumberFormat="1" applyFont="1" applyFill="1" applyBorder="1"/>
    <xf numFmtId="170" fontId="83" fillId="0" borderId="12" xfId="0" applyNumberFormat="1" applyFont="1" applyBorder="1"/>
    <xf numFmtId="0" fontId="83" fillId="0" borderId="77" xfId="0" applyFont="1" applyBorder="1"/>
    <xf numFmtId="170" fontId="84" fillId="0" borderId="24" xfId="0" applyNumberFormat="1" applyFont="1" applyBorder="1"/>
    <xf numFmtId="170" fontId="84" fillId="0" borderId="23" xfId="0" applyNumberFormat="1" applyFont="1" applyBorder="1"/>
    <xf numFmtId="0" fontId="83" fillId="0" borderId="19" xfId="0" applyFont="1" applyBorder="1"/>
    <xf numFmtId="0" fontId="109" fillId="0" borderId="22" xfId="0" applyFont="1" applyBorder="1"/>
    <xf numFmtId="170" fontId="84" fillId="0" borderId="19" xfId="0" applyNumberFormat="1" applyFont="1" applyBorder="1"/>
    <xf numFmtId="170" fontId="84" fillId="0" borderId="60" xfId="0" applyNumberFormat="1" applyFont="1" applyBorder="1"/>
    <xf numFmtId="170" fontId="83" fillId="0" borderId="22" xfId="0" applyNumberFormat="1" applyFont="1" applyBorder="1"/>
    <xf numFmtId="37" fontId="83" fillId="0" borderId="13" xfId="0" applyNumberFormat="1" applyFont="1" applyBorder="1"/>
    <xf numFmtId="0" fontId="84" fillId="3" borderId="84" xfId="0" applyFont="1" applyFill="1" applyBorder="1"/>
    <xf numFmtId="0" fontId="83" fillId="3" borderId="62" xfId="0" applyFont="1" applyFill="1" applyBorder="1" applyAlignment="1">
      <alignment horizontal="right"/>
    </xf>
    <xf numFmtId="0" fontId="83" fillId="3" borderId="62" xfId="0" applyFont="1" applyFill="1" applyBorder="1"/>
    <xf numFmtId="37" fontId="84" fillId="3" borderId="61" xfId="0" applyNumberFormat="1" applyFont="1" applyFill="1" applyBorder="1"/>
    <xf numFmtId="0" fontId="83" fillId="3" borderId="63" xfId="0" applyFont="1" applyFill="1" applyBorder="1" applyAlignment="1">
      <alignment horizontal="right"/>
    </xf>
    <xf numFmtId="0" fontId="84" fillId="3" borderId="63" xfId="0" applyFont="1" applyFill="1" applyBorder="1"/>
    <xf numFmtId="0" fontId="84" fillId="3" borderId="62" xfId="0" applyFont="1" applyFill="1" applyBorder="1"/>
    <xf numFmtId="37" fontId="84" fillId="3" borderId="85" xfId="0" applyNumberFormat="1" applyFont="1" applyFill="1" applyBorder="1"/>
    <xf numFmtId="1" fontId="83" fillId="0" borderId="12" xfId="0" applyNumberFormat="1" applyFont="1" applyBorder="1"/>
    <xf numFmtId="0" fontId="83" fillId="0" borderId="79" xfId="0" applyFont="1" applyBorder="1"/>
    <xf numFmtId="1" fontId="83" fillId="0" borderId="23" xfId="0" applyNumberFormat="1" applyFont="1" applyBorder="1"/>
    <xf numFmtId="37" fontId="83" fillId="0" borderId="23" xfId="0" applyNumberFormat="1" applyFont="1" applyBorder="1"/>
    <xf numFmtId="170" fontId="83" fillId="0" borderId="23" xfId="0" applyNumberFormat="1" applyFont="1" applyBorder="1"/>
    <xf numFmtId="37" fontId="83" fillId="0" borderId="24" xfId="0" applyNumberFormat="1" applyFont="1" applyBorder="1"/>
    <xf numFmtId="171" fontId="83" fillId="0" borderId="22" xfId="0" applyNumberFormat="1" applyFont="1" applyBorder="1"/>
    <xf numFmtId="170" fontId="83" fillId="0" borderId="19" xfId="0" applyNumberFormat="1" applyFont="1" applyBorder="1"/>
    <xf numFmtId="2" fontId="83" fillId="0" borderId="22" xfId="0" applyNumberFormat="1" applyFont="1" applyBorder="1"/>
    <xf numFmtId="170" fontId="83" fillId="0" borderId="13" xfId="0" applyNumberFormat="1" applyFont="1" applyBorder="1"/>
    <xf numFmtId="37" fontId="84" fillId="3" borderId="86" xfId="0" applyNumberFormat="1" applyFont="1" applyFill="1" applyBorder="1"/>
    <xf numFmtId="0" fontId="84" fillId="3" borderId="87" xfId="0" applyFont="1" applyFill="1" applyBorder="1"/>
    <xf numFmtId="0" fontId="84" fillId="3" borderId="31" xfId="0" applyFont="1" applyFill="1" applyBorder="1"/>
    <xf numFmtId="170" fontId="84" fillId="0" borderId="13" xfId="0" applyNumberFormat="1" applyFont="1" applyBorder="1"/>
    <xf numFmtId="172" fontId="83" fillId="0" borderId="1" xfId="0" applyNumberFormat="1" applyFont="1" applyBorder="1"/>
    <xf numFmtId="37" fontId="84" fillId="0" borderId="57" xfId="0" applyNumberFormat="1" applyFont="1" applyBorder="1"/>
    <xf numFmtId="0" fontId="84" fillId="0" borderId="22" xfId="0" applyFont="1" applyBorder="1"/>
    <xf numFmtId="171" fontId="84" fillId="0" borderId="22" xfId="0" applyNumberFormat="1" applyFont="1" applyBorder="1"/>
    <xf numFmtId="0" fontId="84" fillId="0" borderId="13" xfId="0" applyFont="1" applyBorder="1"/>
    <xf numFmtId="37" fontId="84" fillId="0" borderId="13" xfId="0" applyNumberFormat="1" applyFont="1" applyBorder="1"/>
    <xf numFmtId="37" fontId="84" fillId="0" borderId="19" xfId="0" applyNumberFormat="1" applyFont="1" applyBorder="1"/>
    <xf numFmtId="37" fontId="84" fillId="0" borderId="60" xfId="0" applyNumberFormat="1" applyFont="1" applyBorder="1"/>
    <xf numFmtId="0" fontId="84" fillId="4" borderId="73" xfId="0" applyFont="1" applyFill="1" applyBorder="1"/>
    <xf numFmtId="170" fontId="111" fillId="0" borderId="12" xfId="0" applyNumberFormat="1" applyFont="1" applyBorder="1"/>
    <xf numFmtId="37" fontId="84" fillId="4" borderId="86" xfId="0" applyNumberFormat="1" applyFont="1" applyFill="1" applyBorder="1"/>
    <xf numFmtId="0" fontId="84" fillId="4" borderId="77" xfId="0" applyFont="1" applyFill="1" applyBorder="1"/>
    <xf numFmtId="0" fontId="84" fillId="0" borderId="79" xfId="0" applyFont="1" applyBorder="1"/>
    <xf numFmtId="0" fontId="84" fillId="4" borderId="79" xfId="0" applyFont="1" applyFill="1" applyBorder="1"/>
    <xf numFmtId="37" fontId="84" fillId="4" borderId="58" xfId="0" applyNumberFormat="1" applyFont="1" applyFill="1" applyBorder="1"/>
    <xf numFmtId="0" fontId="83" fillId="0" borderId="24" xfId="0" applyFont="1" applyBorder="1" applyAlignment="1">
      <alignment horizontal="center"/>
    </xf>
    <xf numFmtId="0" fontId="83" fillId="0" borderId="13" xfId="0" applyFont="1" applyBorder="1" applyAlignment="1">
      <alignment horizontal="center"/>
    </xf>
    <xf numFmtId="0" fontId="83" fillId="0" borderId="19" xfId="0" applyFont="1" applyBorder="1" applyAlignment="1">
      <alignment horizontal="center"/>
    </xf>
    <xf numFmtId="0" fontId="83" fillId="0" borderId="22" xfId="0" applyFont="1" applyBorder="1" applyAlignment="1">
      <alignment horizontal="center"/>
    </xf>
    <xf numFmtId="0" fontId="83" fillId="0" borderId="60" xfId="0" applyFont="1" applyBorder="1" applyAlignment="1">
      <alignment horizontal="center"/>
    </xf>
    <xf numFmtId="3" fontId="83" fillId="0" borderId="57" xfId="0" applyNumberFormat="1" applyFont="1" applyBorder="1"/>
    <xf numFmtId="3" fontId="84" fillId="0" borderId="24" xfId="0" applyNumberFormat="1" applyFont="1" applyBorder="1"/>
    <xf numFmtId="3" fontId="84" fillId="0" borderId="25" xfId="0" applyNumberFormat="1" applyFont="1" applyBorder="1"/>
    <xf numFmtId="3" fontId="84" fillId="0" borderId="23" xfId="0" applyNumberFormat="1" applyFont="1" applyBorder="1"/>
    <xf numFmtId="3" fontId="84" fillId="0" borderId="58" xfId="0" applyNumberFormat="1" applyFont="1" applyBorder="1"/>
    <xf numFmtId="3" fontId="83" fillId="0" borderId="19" xfId="0" applyNumberFormat="1" applyFont="1" applyBorder="1"/>
    <xf numFmtId="3" fontId="83" fillId="0" borderId="13" xfId="0" applyNumberFormat="1" applyFont="1" applyBorder="1"/>
    <xf numFmtId="3" fontId="83" fillId="0" borderId="22" xfId="0" applyNumberFormat="1" applyFont="1" applyBorder="1"/>
    <xf numFmtId="3" fontId="84" fillId="0" borderId="13" xfId="0" applyNumberFormat="1" applyFont="1" applyBorder="1"/>
    <xf numFmtId="3" fontId="84" fillId="0" borderId="19" xfId="0" applyNumberFormat="1" applyFont="1" applyBorder="1"/>
    <xf numFmtId="3" fontId="84" fillId="0" borderId="60" xfId="0" applyNumberFormat="1" applyFont="1" applyBorder="1"/>
    <xf numFmtId="3" fontId="83" fillId="0" borderId="23" xfId="0" applyNumberFormat="1" applyFont="1" applyBorder="1"/>
    <xf numFmtId="170" fontId="110" fillId="11" borderId="88" xfId="0" applyNumberFormat="1" applyFont="1" applyFill="1" applyBorder="1"/>
    <xf numFmtId="37" fontId="83" fillId="0" borderId="22" xfId="0" applyNumberFormat="1" applyFont="1" applyBorder="1"/>
    <xf numFmtId="0" fontId="84" fillId="0" borderId="1" xfId="0" applyFont="1" applyBorder="1" applyAlignment="1">
      <alignment horizontal="center"/>
    </xf>
    <xf numFmtId="170" fontId="84" fillId="0" borderId="1" xfId="0" applyNumberFormat="1" applyFont="1" applyBorder="1"/>
    <xf numFmtId="0" fontId="84" fillId="0" borderId="12" xfId="0" applyFont="1" applyBorder="1" applyAlignment="1">
      <alignment horizontal="center"/>
    </xf>
    <xf numFmtId="3" fontId="83" fillId="0" borderId="24" xfId="0" applyNumberFormat="1" applyFont="1" applyBorder="1" applyAlignment="1">
      <alignment horizontal="center"/>
    </xf>
    <xf numFmtId="3" fontId="83" fillId="0" borderId="1" xfId="0" applyNumberFormat="1" applyFont="1" applyBorder="1" applyAlignment="1">
      <alignment horizontal="center"/>
    </xf>
    <xf numFmtId="3" fontId="83" fillId="0" borderId="15" xfId="0" applyNumberFormat="1" applyFont="1" applyBorder="1" applyAlignment="1">
      <alignment horizontal="center"/>
    </xf>
    <xf numFmtId="3" fontId="83" fillId="0" borderId="12" xfId="0" applyNumberFormat="1" applyFont="1" applyBorder="1" applyAlignment="1">
      <alignment horizontal="center"/>
    </xf>
    <xf numFmtId="3" fontId="83" fillId="0" borderId="57" xfId="0" applyNumberFormat="1" applyFont="1" applyBorder="1" applyAlignment="1">
      <alignment horizontal="center"/>
    </xf>
    <xf numFmtId="3" fontId="83" fillId="0" borderId="22" xfId="0" applyNumberFormat="1" applyFont="1" applyBorder="1" applyAlignment="1">
      <alignment horizontal="center"/>
    </xf>
    <xf numFmtId="3" fontId="83" fillId="0" borderId="13" xfId="0" applyNumberFormat="1" applyFont="1" applyBorder="1" applyAlignment="1">
      <alignment horizontal="center"/>
    </xf>
    <xf numFmtId="3" fontId="83" fillId="0" borderId="19" xfId="0" applyNumberFormat="1" applyFont="1" applyBorder="1" applyAlignment="1">
      <alignment horizontal="center"/>
    </xf>
    <xf numFmtId="3" fontId="83" fillId="0" borderId="60" xfId="0" applyNumberFormat="1" applyFont="1" applyBorder="1" applyAlignment="1">
      <alignment horizontal="center"/>
    </xf>
    <xf numFmtId="0" fontId="84" fillId="0" borderId="77" xfId="0" applyFont="1" applyBorder="1"/>
    <xf numFmtId="3" fontId="83" fillId="0" borderId="60" xfId="0" applyNumberFormat="1" applyFont="1" applyBorder="1"/>
    <xf numFmtId="3" fontId="83" fillId="0" borderId="24" xfId="0" applyNumberFormat="1" applyFont="1" applyBorder="1"/>
    <xf numFmtId="3" fontId="83" fillId="0" borderId="25" xfId="0" applyNumberFormat="1" applyFont="1" applyBorder="1"/>
    <xf numFmtId="3" fontId="83" fillId="0" borderId="58" xfId="0" applyNumberFormat="1" applyFont="1" applyBorder="1"/>
    <xf numFmtId="3" fontId="84" fillId="0" borderId="12" xfId="0" applyNumberFormat="1" applyFont="1" applyBorder="1"/>
    <xf numFmtId="0" fontId="84" fillId="4" borderId="72" xfId="0" applyFont="1" applyFill="1" applyBorder="1"/>
    <xf numFmtId="37" fontId="84" fillId="4" borderId="60" xfId="0" applyNumberFormat="1" applyFont="1" applyFill="1" applyBorder="1"/>
    <xf numFmtId="0" fontId="83" fillId="3" borderId="63" xfId="0" applyFont="1" applyFill="1" applyBorder="1"/>
    <xf numFmtId="0" fontId="92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0" applyFont="1" applyBorder="1"/>
    <xf numFmtId="0" fontId="83" fillId="0" borderId="89" xfId="0" applyFont="1" applyBorder="1" applyAlignment="1">
      <alignment horizontal="left"/>
    </xf>
    <xf numFmtId="0" fontId="84" fillId="0" borderId="90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/>
    </xf>
    <xf numFmtId="0" fontId="83" fillId="0" borderId="33" xfId="0" applyFont="1" applyBorder="1" applyAlignment="1">
      <alignment horizontal="center"/>
    </xf>
    <xf numFmtId="0" fontId="83" fillId="0" borderId="34" xfId="0" applyFont="1" applyBorder="1" applyAlignment="1">
      <alignment horizontal="center"/>
    </xf>
    <xf numFmtId="0" fontId="86" fillId="0" borderId="22" xfId="0" applyFont="1" applyBorder="1"/>
    <xf numFmtId="37" fontId="86" fillId="0" borderId="32" xfId="0" applyNumberFormat="1" applyFont="1" applyBorder="1"/>
    <xf numFmtId="37" fontId="86" fillId="0" borderId="33" xfId="0" applyNumberFormat="1" applyFont="1" applyBorder="1"/>
    <xf numFmtId="37" fontId="86" fillId="0" borderId="22" xfId="0" applyNumberFormat="1" applyFont="1" applyBorder="1"/>
    <xf numFmtId="170" fontId="86" fillId="0" borderId="22" xfId="0" applyNumberFormat="1" applyFont="1" applyBorder="1"/>
    <xf numFmtId="37" fontId="86" fillId="0" borderId="34" xfId="0" applyNumberFormat="1" applyFont="1" applyBorder="1"/>
    <xf numFmtId="170" fontId="86" fillId="0" borderId="60" xfId="0" applyNumberFormat="1" applyFont="1" applyBorder="1"/>
    <xf numFmtId="0" fontId="92" fillId="3" borderId="77" xfId="0" applyFont="1" applyFill="1" applyBorder="1"/>
    <xf numFmtId="170" fontId="92" fillId="3" borderId="60" xfId="0" applyNumberFormat="1" applyFont="1" applyFill="1" applyBorder="1"/>
    <xf numFmtId="0" fontId="92" fillId="0" borderId="72" xfId="0" applyFont="1" applyBorder="1"/>
    <xf numFmtId="0" fontId="86" fillId="0" borderId="1" xfId="0" applyFont="1" applyBorder="1"/>
    <xf numFmtId="37" fontId="86" fillId="0" borderId="39" xfId="0" applyNumberFormat="1" applyFont="1" applyBorder="1"/>
    <xf numFmtId="37" fontId="86" fillId="0" borderId="1" xfId="0" applyNumberFormat="1" applyFont="1" applyBorder="1"/>
    <xf numFmtId="170" fontId="86" fillId="0" borderId="1" xfId="0" applyNumberFormat="1" applyFont="1" applyBorder="1"/>
    <xf numFmtId="37" fontId="86" fillId="0" borderId="41" xfId="0" applyNumberFormat="1" applyFont="1" applyBorder="1"/>
    <xf numFmtId="0" fontId="86" fillId="0" borderId="1" xfId="0" applyFont="1" applyBorder="1" applyAlignment="1">
      <alignment horizontal="right"/>
    </xf>
    <xf numFmtId="171" fontId="86" fillId="0" borderId="1" xfId="0" applyNumberFormat="1" applyFont="1" applyBorder="1"/>
    <xf numFmtId="0" fontId="86" fillId="0" borderId="39" xfId="0" applyFont="1" applyBorder="1"/>
    <xf numFmtId="0" fontId="86" fillId="0" borderId="22" xfId="0" applyFont="1" applyBorder="1" applyAlignment="1">
      <alignment horizontal="right"/>
    </xf>
    <xf numFmtId="171" fontId="86" fillId="0" borderId="22" xfId="0" applyNumberFormat="1" applyFont="1" applyBorder="1"/>
    <xf numFmtId="0" fontId="86" fillId="0" borderId="33" xfId="0" applyFont="1" applyBorder="1"/>
    <xf numFmtId="170" fontId="86" fillId="0" borderId="32" xfId="0" applyNumberFormat="1" applyFont="1" applyBorder="1"/>
    <xf numFmtId="0" fontId="92" fillId="3" borderId="78" xfId="0" applyFont="1" applyFill="1" applyBorder="1"/>
    <xf numFmtId="0" fontId="86" fillId="0" borderId="24" xfId="0" applyFont="1" applyBorder="1" applyAlignment="1">
      <alignment horizontal="right"/>
    </xf>
    <xf numFmtId="0" fontId="86" fillId="0" borderId="24" xfId="0" applyFont="1" applyBorder="1"/>
    <xf numFmtId="0" fontId="86" fillId="0" borderId="38" xfId="0" applyFont="1" applyBorder="1"/>
    <xf numFmtId="171" fontId="86" fillId="0" borderId="24" xfId="0" applyNumberFormat="1" applyFont="1" applyBorder="1"/>
    <xf numFmtId="37" fontId="86" fillId="0" borderId="24" xfId="0" applyNumberFormat="1" applyFont="1" applyBorder="1"/>
    <xf numFmtId="170" fontId="86" fillId="0" borderId="24" xfId="0" applyNumberFormat="1" applyFont="1" applyBorder="1"/>
    <xf numFmtId="37" fontId="86" fillId="0" borderId="42" xfId="0" applyNumberFormat="1" applyFont="1" applyBorder="1"/>
    <xf numFmtId="170" fontId="86" fillId="0" borderId="37" xfId="0" applyNumberFormat="1" applyFont="1" applyBorder="1"/>
    <xf numFmtId="0" fontId="86" fillId="0" borderId="41" xfId="0" applyFont="1" applyBorder="1"/>
    <xf numFmtId="170" fontId="86" fillId="0" borderId="94" xfId="0" applyNumberFormat="1" applyFont="1" applyBorder="1"/>
    <xf numFmtId="37" fontId="86" fillId="0" borderId="51" xfId="0" applyNumberFormat="1" applyFont="1" applyBorder="1"/>
    <xf numFmtId="0" fontId="92" fillId="4" borderId="79" xfId="0" applyFont="1" applyFill="1" applyBorder="1"/>
    <xf numFmtId="170" fontId="86" fillId="0" borderId="85" xfId="0" applyNumberFormat="1" applyFont="1" applyBorder="1"/>
    <xf numFmtId="0" fontId="92" fillId="3" borderId="80" xfId="0" applyFont="1" applyFill="1" applyBorder="1"/>
    <xf numFmtId="0" fontId="92" fillId="3" borderId="66" xfId="0" applyFont="1" applyFill="1" applyBorder="1"/>
    <xf numFmtId="0" fontId="92" fillId="3" borderId="66" xfId="0" applyFont="1" applyFill="1" applyBorder="1" applyAlignment="1">
      <alignment horizontal="center"/>
    </xf>
    <xf numFmtId="170" fontId="92" fillId="3" borderId="66" xfId="0" applyNumberFormat="1" applyFont="1" applyFill="1" applyBorder="1"/>
    <xf numFmtId="37" fontId="92" fillId="3" borderId="95" xfId="0" applyNumberFormat="1" applyFont="1" applyFill="1" applyBorder="1"/>
    <xf numFmtId="37" fontId="92" fillId="3" borderId="96" xfId="0" applyNumberFormat="1" applyFont="1" applyFill="1" applyBorder="1"/>
    <xf numFmtId="0" fontId="92" fillId="3" borderId="96" xfId="0" applyFont="1" applyFill="1" applyBorder="1" applyAlignment="1">
      <alignment horizontal="center"/>
    </xf>
    <xf numFmtId="170" fontId="92" fillId="3" borderId="88" xfId="0" applyNumberFormat="1" applyFont="1" applyFill="1" applyBorder="1"/>
    <xf numFmtId="0" fontId="92" fillId="3" borderId="97" xfId="0" applyFont="1" applyFill="1" applyBorder="1"/>
    <xf numFmtId="0" fontId="92" fillId="3" borderId="98" xfId="0" applyFont="1" applyFill="1" applyBorder="1"/>
    <xf numFmtId="0" fontId="92" fillId="3" borderId="98" xfId="0" applyFont="1" applyFill="1" applyBorder="1" applyAlignment="1">
      <alignment horizontal="center"/>
    </xf>
    <xf numFmtId="170" fontId="92" fillId="3" borderId="98" xfId="0" applyNumberFormat="1" applyFont="1" applyFill="1" applyBorder="1"/>
    <xf numFmtId="37" fontId="92" fillId="3" borderId="99" xfId="0" applyNumberFormat="1" applyFont="1" applyFill="1" applyBorder="1"/>
    <xf numFmtId="37" fontId="92" fillId="3" borderId="98" xfId="0" applyNumberFormat="1" applyFont="1" applyFill="1" applyBorder="1"/>
    <xf numFmtId="37" fontId="92" fillId="3" borderId="100" xfId="0" applyNumberFormat="1" applyFont="1" applyFill="1" applyBorder="1"/>
    <xf numFmtId="37" fontId="92" fillId="3" borderId="101" xfId="0" applyNumberFormat="1" applyFont="1" applyFill="1" applyBorder="1"/>
    <xf numFmtId="37" fontId="92" fillId="3" borderId="90" xfId="0" applyNumberFormat="1" applyFont="1" applyFill="1" applyBorder="1"/>
    <xf numFmtId="170" fontId="92" fillId="3" borderId="93" xfId="0" applyNumberFormat="1" applyFont="1" applyFill="1" applyBorder="1"/>
    <xf numFmtId="0" fontId="91" fillId="0" borderId="72" xfId="0" applyFont="1" applyBorder="1"/>
    <xf numFmtId="0" fontId="91" fillId="0" borderId="41" xfId="0" applyFont="1" applyBorder="1"/>
    <xf numFmtId="0" fontId="91" fillId="0" borderId="57" xfId="0" applyFont="1" applyBorder="1"/>
    <xf numFmtId="0" fontId="81" fillId="0" borderId="41" xfId="0" applyFont="1" applyBorder="1"/>
    <xf numFmtId="170" fontId="92" fillId="3" borderId="83" xfId="0" applyNumberFormat="1" applyFont="1" applyFill="1" applyBorder="1"/>
    <xf numFmtId="170" fontId="114" fillId="0" borderId="12" xfId="1" applyNumberFormat="1" applyFont="1" applyFill="1" applyBorder="1"/>
    <xf numFmtId="3" fontId="114" fillId="0" borderId="57" xfId="0" applyNumberFormat="1" applyFont="1" applyBorder="1"/>
    <xf numFmtId="0" fontId="89" fillId="0" borderId="0" xfId="0" applyFont="1"/>
    <xf numFmtId="39" fontId="83" fillId="0" borderId="0" xfId="0" applyNumberFormat="1" applyFont="1"/>
    <xf numFmtId="0" fontId="80" fillId="0" borderId="1" xfId="0" applyFont="1" applyBorder="1"/>
    <xf numFmtId="0" fontId="90" fillId="0" borderId="0" xfId="0" applyFont="1"/>
    <xf numFmtId="170" fontId="83" fillId="0" borderId="0" xfId="0" applyNumberFormat="1" applyFont="1"/>
    <xf numFmtId="170" fontId="84" fillId="0" borderId="0" xfId="0" applyNumberFormat="1" applyFont="1"/>
    <xf numFmtId="37" fontId="81" fillId="0" borderId="1" xfId="0" applyNumberFormat="1" applyFont="1" applyBorder="1"/>
    <xf numFmtId="0" fontId="84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112" fillId="0" borderId="0" xfId="0" applyFont="1"/>
    <xf numFmtId="167" fontId="77" fillId="0" borderId="1" xfId="0" applyNumberFormat="1" applyFont="1" applyBorder="1"/>
    <xf numFmtId="167" fontId="79" fillId="0" borderId="1" xfId="0" applyNumberFormat="1" applyFont="1" applyBorder="1"/>
    <xf numFmtId="167" fontId="78" fillId="0" borderId="1" xfId="0" applyNumberFormat="1" applyFont="1" applyBorder="1"/>
    <xf numFmtId="0" fontId="78" fillId="0" borderId="1" xfId="0" applyFont="1" applyBorder="1"/>
    <xf numFmtId="170" fontId="92" fillId="3" borderId="102" xfId="0" applyNumberFormat="1" applyFont="1" applyFill="1" applyBorder="1"/>
    <xf numFmtId="0" fontId="83" fillId="0" borderId="103" xfId="0" applyFont="1" applyBorder="1"/>
    <xf numFmtId="3" fontId="111" fillId="0" borderId="13" xfId="0" applyNumberFormat="1" applyFont="1" applyBorder="1"/>
    <xf numFmtId="3" fontId="111" fillId="0" borderId="22" xfId="0" applyNumberFormat="1" applyFont="1" applyBorder="1"/>
    <xf numFmtId="0" fontId="115" fillId="0" borderId="0" xfId="0" applyFont="1" applyAlignment="1">
      <alignment horizontal="left" vertical="top"/>
    </xf>
    <xf numFmtId="0" fontId="114" fillId="0" borderId="72" xfId="0" applyFont="1" applyBorder="1"/>
    <xf numFmtId="0" fontId="112" fillId="9" borderId="1" xfId="0" applyFont="1" applyFill="1" applyBorder="1"/>
    <xf numFmtId="0" fontId="116" fillId="0" borderId="79" xfId="0" applyFont="1" applyBorder="1"/>
    <xf numFmtId="4" fontId="117" fillId="0" borderId="0" xfId="0" applyNumberFormat="1" applyFont="1" applyAlignment="1">
      <alignment horizontal="center" vertical="top"/>
    </xf>
    <xf numFmtId="3" fontId="109" fillId="0" borderId="15" xfId="0" applyNumberFormat="1" applyFont="1" applyBorder="1"/>
    <xf numFmtId="0" fontId="105" fillId="10" borderId="48" xfId="0" applyFont="1" applyFill="1" applyBorder="1" applyAlignment="1">
      <alignment horizontal="left" vertical="top"/>
    </xf>
    <xf numFmtId="49" fontId="105" fillId="0" borderId="49" xfId="0" applyNumberFormat="1" applyFont="1" applyBorder="1" applyAlignment="1">
      <alignment horizontal="left" vertical="top"/>
    </xf>
    <xf numFmtId="1" fontId="105" fillId="10" borderId="48" xfId="0" applyNumberFormat="1" applyFont="1" applyFill="1" applyBorder="1" applyAlignment="1">
      <alignment horizontal="left" vertical="top"/>
    </xf>
    <xf numFmtId="1" fontId="105" fillId="0" borderId="49" xfId="0" applyNumberFormat="1" applyFont="1" applyBorder="1" applyAlignment="1">
      <alignment horizontal="left" vertical="top"/>
    </xf>
    <xf numFmtId="39" fontId="104" fillId="0" borderId="49" xfId="0" applyNumberFormat="1" applyFont="1" applyBorder="1" applyAlignment="1">
      <alignment horizontal="left" vertical="top"/>
    </xf>
    <xf numFmtId="0" fontId="105" fillId="0" borderId="49" xfId="0" applyFont="1" applyBorder="1" applyAlignment="1">
      <alignment horizontal="left" vertical="top"/>
    </xf>
    <xf numFmtId="0" fontId="104" fillId="0" borderId="49" xfId="0" applyFont="1" applyBorder="1" applyAlignment="1">
      <alignment horizontal="left" vertical="top"/>
    </xf>
    <xf numFmtId="49" fontId="104" fillId="0" borderId="49" xfId="0" applyNumberFormat="1" applyFont="1" applyBorder="1" applyAlignment="1">
      <alignment horizontal="left" vertical="top"/>
    </xf>
    <xf numFmtId="39" fontId="104" fillId="10" borderId="48" xfId="0" applyNumberFormat="1" applyFont="1" applyFill="1" applyBorder="1" applyAlignment="1">
      <alignment horizontal="left" vertical="top"/>
    </xf>
    <xf numFmtId="49" fontId="104" fillId="10" borderId="48" xfId="0" applyNumberFormat="1" applyFont="1" applyFill="1" applyBorder="1" applyAlignment="1">
      <alignment horizontal="left" vertical="top"/>
    </xf>
    <xf numFmtId="39" fontId="104" fillId="10" borderId="44" xfId="0" applyNumberFormat="1" applyFont="1" applyFill="1" applyBorder="1" applyAlignment="1">
      <alignment horizontal="left" vertical="top"/>
    </xf>
    <xf numFmtId="0" fontId="73" fillId="0" borderId="104" xfId="0" applyFont="1" applyBorder="1"/>
    <xf numFmtId="167" fontId="118" fillId="0" borderId="52" xfId="0" applyNumberFormat="1" applyFont="1" applyBorder="1"/>
    <xf numFmtId="165" fontId="77" fillId="0" borderId="7" xfId="0" applyNumberFormat="1" applyFont="1" applyBorder="1"/>
    <xf numFmtId="165" fontId="78" fillId="3" borderId="9" xfId="0" applyNumberFormat="1" applyFont="1" applyFill="1" applyBorder="1"/>
    <xf numFmtId="165" fontId="78" fillId="3" borderId="11" xfId="0" applyNumberFormat="1" applyFont="1" applyFill="1" applyBorder="1"/>
    <xf numFmtId="165" fontId="79" fillId="0" borderId="5" xfId="0" applyNumberFormat="1" applyFont="1" applyBorder="1"/>
    <xf numFmtId="165" fontId="73" fillId="0" borderId="7" xfId="0" applyNumberFormat="1" applyFont="1" applyBorder="1"/>
    <xf numFmtId="165" fontId="79" fillId="0" borderId="53" xfId="0" applyNumberFormat="1" applyFont="1" applyBorder="1"/>
    <xf numFmtId="0" fontId="103" fillId="0" borderId="0" xfId="0" applyFont="1" applyAlignment="1">
      <alignment horizontal="center"/>
    </xf>
    <xf numFmtId="4" fontId="73" fillId="12" borderId="0" xfId="0" applyNumberFormat="1" applyFont="1" applyFill="1" applyAlignment="1">
      <alignment horizontal="center" vertical="top"/>
    </xf>
    <xf numFmtId="39" fontId="109" fillId="0" borderId="105" xfId="0" applyNumberFormat="1" applyFont="1" applyBorder="1"/>
    <xf numFmtId="166" fontId="101" fillId="0" borderId="0" xfId="0" applyNumberFormat="1" applyFont="1" applyAlignment="1">
      <alignment horizontal="center" vertical="top"/>
    </xf>
    <xf numFmtId="166" fontId="73" fillId="0" borderId="0" xfId="0" applyNumberFormat="1" applyFont="1" applyAlignment="1">
      <alignment horizontal="center" vertical="top"/>
    </xf>
    <xf numFmtId="166" fontId="117" fillId="0" borderId="0" xfId="0" applyNumberFormat="1" applyFont="1" applyAlignment="1">
      <alignment horizontal="center" vertical="top"/>
    </xf>
    <xf numFmtId="166" fontId="73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3" fillId="14" borderId="0" xfId="0" applyNumberFormat="1" applyFont="1" applyFill="1" applyAlignment="1">
      <alignment horizontal="left" vertical="top"/>
    </xf>
    <xf numFmtId="166" fontId="73" fillId="14" borderId="0" xfId="0" applyNumberFormat="1" applyFont="1" applyFill="1" applyAlignment="1">
      <alignment horizontal="center" vertical="top"/>
    </xf>
    <xf numFmtId="4" fontId="73" fillId="14" borderId="0" xfId="0" applyNumberFormat="1" applyFont="1" applyFill="1" applyAlignment="1">
      <alignment horizontal="center" vertical="top"/>
    </xf>
    <xf numFmtId="37" fontId="84" fillId="3" borderId="17" xfId="0" applyNumberFormat="1" applyFont="1" applyFill="1" applyBorder="1"/>
    <xf numFmtId="0" fontId="83" fillId="3" borderId="20" xfId="0" applyFont="1" applyFill="1" applyBorder="1"/>
    <xf numFmtId="0" fontId="71" fillId="0" borderId="1" xfId="2"/>
    <xf numFmtId="0" fontId="119" fillId="0" borderId="1" xfId="2" applyFont="1" applyAlignment="1">
      <alignment horizontal="center"/>
    </xf>
    <xf numFmtId="0" fontId="119" fillId="0" borderId="1" xfId="2" applyFont="1"/>
    <xf numFmtId="0" fontId="120" fillId="0" borderId="1" xfId="2" applyFont="1"/>
    <xf numFmtId="169" fontId="121" fillId="0" borderId="1" xfId="2" applyNumberFormat="1" applyFont="1" applyAlignment="1">
      <alignment horizontal="left"/>
    </xf>
    <xf numFmtId="0" fontId="121" fillId="0" borderId="1" xfId="2" applyFont="1"/>
    <xf numFmtId="0" fontId="122" fillId="0" borderId="1" xfId="2" applyFont="1"/>
    <xf numFmtId="0" fontId="109" fillId="0" borderId="1" xfId="2" applyFont="1"/>
    <xf numFmtId="0" fontId="123" fillId="0" borderId="1" xfId="2" applyFont="1"/>
    <xf numFmtId="0" fontId="124" fillId="0" borderId="1" xfId="2" applyFont="1"/>
    <xf numFmtId="0" fontId="125" fillId="0" borderId="1" xfId="2" applyFont="1"/>
    <xf numFmtId="0" fontId="127" fillId="15" borderId="1" xfId="2" applyFont="1" applyFill="1"/>
    <xf numFmtId="0" fontId="125" fillId="15" borderId="1" xfId="2" applyFont="1" applyFill="1"/>
    <xf numFmtId="0" fontId="128" fillId="15" borderId="1" xfId="2" applyFont="1" applyFill="1"/>
    <xf numFmtId="0" fontId="129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center"/>
    </xf>
    <xf numFmtId="170" fontId="125" fillId="15" borderId="1" xfId="2" applyNumberFormat="1" applyFont="1" applyFill="1"/>
    <xf numFmtId="37" fontId="125" fillId="15" borderId="1" xfId="2" applyNumberFormat="1" applyFont="1" applyFill="1"/>
    <xf numFmtId="170" fontId="127" fillId="15" borderId="1" xfId="2" applyNumberFormat="1" applyFont="1" applyFill="1"/>
    <xf numFmtId="37" fontId="127" fillId="15" borderId="1" xfId="2" applyNumberFormat="1" applyFont="1" applyFill="1"/>
    <xf numFmtId="0" fontId="131" fillId="15" borderId="1" xfId="2" applyFont="1" applyFill="1"/>
    <xf numFmtId="0" fontId="130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left"/>
    </xf>
    <xf numFmtId="0" fontId="132" fillId="15" borderId="1" xfId="2" applyFont="1" applyFill="1" applyProtection="1">
      <protection locked="0"/>
    </xf>
    <xf numFmtId="0" fontId="125" fillId="15" borderId="1" xfId="2" applyFont="1" applyFill="1" applyAlignment="1">
      <alignment horizontal="center"/>
    </xf>
    <xf numFmtId="0" fontId="133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left"/>
    </xf>
    <xf numFmtId="0" fontId="71" fillId="0" borderId="1" xfId="2" applyAlignment="1">
      <alignment horizontal="center"/>
    </xf>
    <xf numFmtId="0" fontId="134" fillId="0" borderId="1" xfId="2" applyFont="1" applyAlignment="1">
      <alignment horizontal="center"/>
    </xf>
    <xf numFmtId="0" fontId="119" fillId="12" borderId="56" xfId="2" applyFont="1" applyFill="1" applyBorder="1" applyAlignment="1">
      <alignment horizontal="center"/>
    </xf>
    <xf numFmtId="0" fontId="122" fillId="0" borderId="1" xfId="2" applyFont="1" applyAlignment="1">
      <alignment horizontal="center"/>
    </xf>
    <xf numFmtId="0" fontId="82" fillId="0" borderId="0" xfId="0" applyFont="1" applyAlignment="1">
      <alignment horizontal="center"/>
    </xf>
    <xf numFmtId="170" fontId="83" fillId="0" borderId="1" xfId="1" applyNumberFormat="1" applyFont="1" applyFill="1" applyBorder="1"/>
    <xf numFmtId="170" fontId="84" fillId="0" borderId="9" xfId="0" applyNumberFormat="1" applyFont="1" applyBorder="1"/>
    <xf numFmtId="3" fontId="83" fillId="0" borderId="22" xfId="0" applyNumberFormat="1" applyFont="1" applyBorder="1" applyAlignment="1">
      <alignment horizontal="right"/>
    </xf>
    <xf numFmtId="0" fontId="135" fillId="0" borderId="0" xfId="0" applyFont="1"/>
    <xf numFmtId="0" fontId="85" fillId="0" borderId="0" xfId="0" applyFont="1"/>
    <xf numFmtId="3" fontId="83" fillId="0" borderId="166" xfId="0" applyNumberFormat="1" applyFont="1" applyBorder="1"/>
    <xf numFmtId="3" fontId="83" fillId="0" borderId="167" xfId="0" applyNumberFormat="1" applyFont="1" applyBorder="1"/>
    <xf numFmtId="3" fontId="83" fillId="0" borderId="168" xfId="0" applyNumberFormat="1" applyFont="1" applyBorder="1"/>
    <xf numFmtId="0" fontId="136" fillId="0" borderId="0" xfId="0" applyFont="1"/>
    <xf numFmtId="0" fontId="109" fillId="0" borderId="110" xfId="0" applyFont="1" applyBorder="1"/>
    <xf numFmtId="170" fontId="92" fillId="3" borderId="59" xfId="0" applyNumberFormat="1" applyFont="1" applyFill="1" applyBorder="1"/>
    <xf numFmtId="0" fontId="70" fillId="0" borderId="1" xfId="3"/>
    <xf numFmtId="0" fontId="137" fillId="0" borderId="171" xfId="3" applyFont="1" applyBorder="1"/>
    <xf numFmtId="0" fontId="70" fillId="0" borderId="171" xfId="3" applyBorder="1"/>
    <xf numFmtId="0" fontId="70" fillId="0" borderId="171" xfId="3" applyBorder="1" applyAlignment="1">
      <alignment horizontal="left" indent="1"/>
    </xf>
    <xf numFmtId="0" fontId="137" fillId="0" borderId="187" xfId="3" applyFont="1" applyBorder="1"/>
    <xf numFmtId="0" fontId="137" fillId="16" borderId="169" xfId="3" applyFont="1" applyFill="1" applyBorder="1" applyAlignment="1">
      <alignment horizontal="center"/>
    </xf>
    <xf numFmtId="0" fontId="137" fillId="16" borderId="176" xfId="3" applyFont="1" applyFill="1" applyBorder="1" applyAlignment="1">
      <alignment horizontal="center"/>
    </xf>
    <xf numFmtId="0" fontId="137" fillId="16" borderId="177" xfId="3" applyFont="1" applyFill="1" applyBorder="1" applyAlignment="1">
      <alignment horizontal="center"/>
    </xf>
    <xf numFmtId="0" fontId="137" fillId="16" borderId="170" xfId="3" applyFont="1" applyFill="1" applyBorder="1" applyAlignment="1">
      <alignment horizontal="center"/>
    </xf>
    <xf numFmtId="0" fontId="137" fillId="17" borderId="169" xfId="3" applyFont="1" applyFill="1" applyBorder="1" applyAlignment="1">
      <alignment horizontal="center"/>
    </xf>
    <xf numFmtId="0" fontId="137" fillId="17" borderId="176" xfId="3" applyFont="1" applyFill="1" applyBorder="1" applyAlignment="1">
      <alignment horizontal="center"/>
    </xf>
    <xf numFmtId="0" fontId="137" fillId="17" borderId="177" xfId="3" applyFont="1" applyFill="1" applyBorder="1" applyAlignment="1">
      <alignment horizontal="center"/>
    </xf>
    <xf numFmtId="0" fontId="137" fillId="17" borderId="178" xfId="3" applyFont="1" applyFill="1" applyBorder="1" applyAlignment="1">
      <alignment horizontal="center"/>
    </xf>
    <xf numFmtId="0" fontId="137" fillId="17" borderId="170" xfId="3" applyFont="1" applyFill="1" applyBorder="1" applyAlignment="1">
      <alignment horizontal="center"/>
    </xf>
    <xf numFmtId="0" fontId="70" fillId="0" borderId="1" xfId="3" applyAlignment="1">
      <alignment horizontal="center"/>
    </xf>
    <xf numFmtId="0" fontId="137" fillId="11" borderId="169" xfId="3" applyFont="1" applyFill="1" applyBorder="1" applyAlignment="1">
      <alignment horizontal="center"/>
    </xf>
    <xf numFmtId="0" fontId="137" fillId="11" borderId="176" xfId="3" applyFont="1" applyFill="1" applyBorder="1" applyAlignment="1">
      <alignment horizontal="center"/>
    </xf>
    <xf numFmtId="0" fontId="137" fillId="11" borderId="177" xfId="3" applyFont="1" applyFill="1" applyBorder="1" applyAlignment="1">
      <alignment horizontal="center"/>
    </xf>
    <xf numFmtId="0" fontId="137" fillId="11" borderId="170" xfId="3" applyFont="1" applyFill="1" applyBorder="1" applyAlignment="1">
      <alignment horizontal="center"/>
    </xf>
    <xf numFmtId="37" fontId="137" fillId="0" borderId="179" xfId="3" applyNumberFormat="1" applyFont="1" applyBorder="1" applyAlignment="1">
      <alignment horizontal="center"/>
    </xf>
    <xf numFmtId="1" fontId="137" fillId="0" borderId="180" xfId="3" applyNumberFormat="1" applyFont="1" applyBorder="1" applyAlignment="1">
      <alignment horizontal="center"/>
    </xf>
    <xf numFmtId="1" fontId="137" fillId="0" borderId="172" xfId="3" applyNumberFormat="1" applyFont="1" applyBorder="1" applyAlignment="1">
      <alignment horizontal="center"/>
    </xf>
    <xf numFmtId="166" fontId="137" fillId="0" borderId="179" xfId="3" applyNumberFormat="1" applyFont="1" applyBorder="1" applyAlignment="1">
      <alignment horizontal="center"/>
    </xf>
    <xf numFmtId="166" fontId="137" fillId="0" borderId="180" xfId="3" applyNumberFormat="1" applyFont="1" applyBorder="1" applyAlignment="1">
      <alignment horizontal="center"/>
    </xf>
    <xf numFmtId="166" fontId="137" fillId="0" borderId="172" xfId="3" applyNumberFormat="1" applyFont="1" applyBorder="1" applyAlignment="1">
      <alignment horizontal="center"/>
    </xf>
    <xf numFmtId="0" fontId="70" fillId="0" borderId="174" xfId="3" applyBorder="1"/>
    <xf numFmtId="0" fontId="137" fillId="18" borderId="169" xfId="3" applyFont="1" applyFill="1" applyBorder="1" applyAlignment="1">
      <alignment horizontal="center"/>
    </xf>
    <xf numFmtId="0" fontId="137" fillId="18" borderId="176" xfId="3" applyFont="1" applyFill="1" applyBorder="1" applyAlignment="1">
      <alignment horizontal="center"/>
    </xf>
    <xf numFmtId="0" fontId="137" fillId="18" borderId="177" xfId="3" applyFont="1" applyFill="1" applyBorder="1" applyAlignment="1">
      <alignment horizontal="center"/>
    </xf>
    <xf numFmtId="0" fontId="137" fillId="18" borderId="170" xfId="3" applyFont="1" applyFill="1" applyBorder="1" applyAlignment="1">
      <alignment horizontal="center"/>
    </xf>
    <xf numFmtId="0" fontId="137" fillId="0" borderId="171" xfId="3" applyFont="1" applyBorder="1" applyAlignment="1">
      <alignment horizontal="left"/>
    </xf>
    <xf numFmtId="0" fontId="137" fillId="19" borderId="169" xfId="3" applyFont="1" applyFill="1" applyBorder="1" applyAlignment="1">
      <alignment horizontal="center"/>
    </xf>
    <xf numFmtId="0" fontId="137" fillId="19" borderId="176" xfId="3" applyFont="1" applyFill="1" applyBorder="1" applyAlignment="1">
      <alignment horizontal="center"/>
    </xf>
    <xf numFmtId="0" fontId="137" fillId="19" borderId="177" xfId="3" applyFont="1" applyFill="1" applyBorder="1" applyAlignment="1">
      <alignment horizontal="center"/>
    </xf>
    <xf numFmtId="0" fontId="137" fillId="19" borderId="170" xfId="3" applyFont="1" applyFill="1" applyBorder="1" applyAlignment="1">
      <alignment horizontal="center"/>
    </xf>
    <xf numFmtId="0" fontId="86" fillId="0" borderId="103" xfId="0" applyFont="1" applyBorder="1"/>
    <xf numFmtId="0" fontId="86" fillId="0" borderId="191" xfId="0" applyFont="1" applyBorder="1"/>
    <xf numFmtId="0" fontId="86" fillId="0" borderId="56" xfId="0" applyFont="1" applyBorder="1" applyAlignment="1">
      <alignment horizontal="right"/>
    </xf>
    <xf numFmtId="0" fontId="86" fillId="0" borderId="56" xfId="0" applyFont="1" applyBorder="1"/>
    <xf numFmtId="37" fontId="86" fillId="0" borderId="192" xfId="0" applyNumberFormat="1" applyFont="1" applyBorder="1"/>
    <xf numFmtId="0" fontId="86" fillId="0" borderId="193" xfId="0" applyFont="1" applyBorder="1"/>
    <xf numFmtId="171" fontId="86" fillId="0" borderId="56" xfId="0" applyNumberFormat="1" applyFont="1" applyBorder="1"/>
    <xf numFmtId="37" fontId="86" fillId="0" borderId="193" xfId="0" applyNumberFormat="1" applyFont="1" applyBorder="1"/>
    <xf numFmtId="37" fontId="86" fillId="0" borderId="56" xfId="0" applyNumberFormat="1" applyFont="1" applyBorder="1"/>
    <xf numFmtId="170" fontId="86" fillId="0" borderId="56" xfId="0" applyNumberFormat="1" applyFont="1" applyBorder="1"/>
    <xf numFmtId="37" fontId="86" fillId="0" borderId="194" xfId="0" applyNumberFormat="1" applyFont="1" applyBorder="1"/>
    <xf numFmtId="170" fontId="86" fillId="0" borderId="195" xfId="0" applyNumberFormat="1" applyFont="1" applyBorder="1"/>
    <xf numFmtId="0" fontId="0" fillId="12" borderId="0" xfId="0" applyFill="1"/>
    <xf numFmtId="49" fontId="68" fillId="12" borderId="1" xfId="6" applyNumberFormat="1" applyFill="1" applyAlignment="1">
      <alignment horizontal="left" vertical="center"/>
    </xf>
    <xf numFmtId="173" fontId="68" fillId="12" borderId="1" xfId="6" applyNumberFormat="1" applyFill="1" applyAlignment="1">
      <alignment horizontal="right" vertical="center"/>
    </xf>
    <xf numFmtId="0" fontId="68" fillId="12" borderId="1" xfId="6" applyFill="1"/>
    <xf numFmtId="0" fontId="109" fillId="0" borderId="109" xfId="0" applyFont="1" applyBorder="1"/>
    <xf numFmtId="0" fontId="110" fillId="0" borderId="109" xfId="0" applyFont="1" applyBorder="1"/>
    <xf numFmtId="0" fontId="109" fillId="0" borderId="0" xfId="0" applyFont="1"/>
    <xf numFmtId="0" fontId="110" fillId="20" borderId="118" xfId="0" applyFont="1" applyFill="1" applyBorder="1"/>
    <xf numFmtId="0" fontId="110" fillId="20" borderId="121" xfId="0" applyFont="1" applyFill="1" applyBorder="1"/>
    <xf numFmtId="0" fontId="110" fillId="15" borderId="110" xfId="0" applyFont="1" applyFill="1" applyBorder="1"/>
    <xf numFmtId="0" fontId="110" fillId="0" borderId="110" xfId="0" applyFont="1" applyBorder="1" applyAlignment="1">
      <alignment horizontal="left"/>
    </xf>
    <xf numFmtId="0" fontId="109" fillId="0" borderId="112" xfId="0" applyFont="1" applyBorder="1"/>
    <xf numFmtId="0" fontId="110" fillId="20" borderId="124" xfId="0" applyFont="1" applyFill="1" applyBorder="1"/>
    <xf numFmtId="0" fontId="110" fillId="20" borderId="127" xfId="0" applyFont="1" applyFill="1" applyBorder="1"/>
    <xf numFmtId="0" fontId="110" fillId="20" borderId="129" xfId="0" applyFont="1" applyFill="1" applyBorder="1"/>
    <xf numFmtId="0" fontId="109" fillId="15" borderId="112" xfId="0" applyFont="1" applyFill="1" applyBorder="1"/>
    <xf numFmtId="0" fontId="110" fillId="20" borderId="133" xfId="0" applyFont="1" applyFill="1" applyBorder="1"/>
    <xf numFmtId="0" fontId="123" fillId="0" borderId="0" xfId="0" applyFont="1"/>
    <xf numFmtId="0" fontId="121" fillId="0" borderId="0" xfId="0" applyFont="1"/>
    <xf numFmtId="0" fontId="120" fillId="0" borderId="0" xfId="0" applyFont="1"/>
    <xf numFmtId="169" fontId="121" fillId="0" borderId="0" xfId="0" applyNumberFormat="1" applyFont="1" applyAlignment="1">
      <alignment horizontal="left"/>
    </xf>
    <xf numFmtId="0" fontId="110" fillId="0" borderId="110" xfId="0" applyFont="1" applyBorder="1"/>
    <xf numFmtId="0" fontId="110" fillId="0" borderId="0" xfId="0" applyFont="1"/>
    <xf numFmtId="0" fontId="110" fillId="15" borderId="118" xfId="0" applyFont="1" applyFill="1" applyBorder="1"/>
    <xf numFmtId="0" fontId="110" fillId="15" borderId="112" xfId="0" applyFont="1" applyFill="1" applyBorder="1"/>
    <xf numFmtId="0" fontId="110" fillId="15" borderId="109" xfId="0" applyFont="1" applyFill="1" applyBorder="1"/>
    <xf numFmtId="0" fontId="109" fillId="15" borderId="110" xfId="0" applyFont="1" applyFill="1" applyBorder="1"/>
    <xf numFmtId="0" fontId="113" fillId="0" borderId="110" xfId="0" applyFont="1" applyBorder="1"/>
    <xf numFmtId="0" fontId="110" fillId="20" borderId="139" xfId="0" applyFont="1" applyFill="1" applyBorder="1"/>
    <xf numFmtId="0" fontId="110" fillId="20" borderId="140" xfId="0" applyFont="1" applyFill="1" applyBorder="1"/>
    <xf numFmtId="0" fontId="113" fillId="0" borderId="112" xfId="0" applyFont="1" applyBorder="1"/>
    <xf numFmtId="0" fontId="113" fillId="15" borderId="110" xfId="0" applyFont="1" applyFill="1" applyBorder="1"/>
    <xf numFmtId="0" fontId="113" fillId="0" borderId="109" xfId="0" applyFont="1" applyBorder="1"/>
    <xf numFmtId="0" fontId="113" fillId="0" borderId="138" xfId="0" applyFont="1" applyBorder="1"/>
    <xf numFmtId="0" fontId="110" fillId="20" borderId="143" xfId="0" applyFont="1" applyFill="1" applyBorder="1"/>
    <xf numFmtId="0" fontId="126" fillId="0" borderId="1" xfId="0" applyFont="1" applyBorder="1" applyAlignment="1">
      <alignment horizontal="centerContinuous" vertical="center"/>
    </xf>
    <xf numFmtId="0" fontId="109" fillId="0" borderId="147" xfId="0" applyFont="1" applyBorder="1"/>
    <xf numFmtId="0" fontId="113" fillId="0" borderId="147" xfId="0" applyFont="1" applyBorder="1"/>
    <xf numFmtId="0" fontId="126" fillId="20" borderId="147" xfId="0" applyFont="1" applyFill="1" applyBorder="1"/>
    <xf numFmtId="0" fontId="126" fillId="0" borderId="72" xfId="0" applyFont="1" applyBorder="1"/>
    <xf numFmtId="0" fontId="113" fillId="0" borderId="72" xfId="0" applyFont="1" applyBorder="1"/>
    <xf numFmtId="0" fontId="109" fillId="0" borderId="72" xfId="0" applyFont="1" applyBorder="1"/>
    <xf numFmtId="0" fontId="126" fillId="20" borderId="149" xfId="0" applyFont="1" applyFill="1" applyBorder="1"/>
    <xf numFmtId="0" fontId="113" fillId="15" borderId="72" xfId="0" applyFont="1" applyFill="1" applyBorder="1"/>
    <xf numFmtId="0" fontId="113" fillId="0" borderId="151" xfId="0" applyFont="1" applyBorder="1"/>
    <xf numFmtId="0" fontId="126" fillId="15" borderId="151" xfId="0" applyFont="1" applyFill="1" applyBorder="1"/>
    <xf numFmtId="0" fontId="126" fillId="20" borderId="153" xfId="0" applyFont="1" applyFill="1" applyBorder="1"/>
    <xf numFmtId="0" fontId="126" fillId="20" borderId="156" xfId="0" applyFont="1" applyFill="1" applyBorder="1"/>
    <xf numFmtId="0" fontId="125" fillId="0" borderId="160" xfId="0" applyFont="1" applyBorder="1"/>
    <xf numFmtId="0" fontId="113" fillId="0" borderId="160" xfId="0" applyFont="1" applyBorder="1"/>
    <xf numFmtId="0" fontId="109" fillId="0" borderId="160" xfId="0" applyFont="1" applyBorder="1"/>
    <xf numFmtId="0" fontId="109" fillId="0" borderId="161" xfId="0" applyFont="1" applyBorder="1"/>
    <xf numFmtId="0" fontId="126" fillId="20" borderId="162" xfId="0" applyFont="1" applyFill="1" applyBorder="1"/>
    <xf numFmtId="0" fontId="110" fillId="0" borderId="116" xfId="0" applyFont="1" applyBorder="1"/>
    <xf numFmtId="0" fontId="110" fillId="0" borderId="112" xfId="0" applyFont="1" applyBorder="1"/>
    <xf numFmtId="0" fontId="109" fillId="15" borderId="138" xfId="0" applyFont="1" applyFill="1" applyBorder="1"/>
    <xf numFmtId="49" fontId="66" fillId="12" borderId="1" xfId="8" applyNumberFormat="1" applyFill="1" applyAlignment="1">
      <alignment horizontal="left" vertical="center"/>
    </xf>
    <xf numFmtId="173" fontId="66" fillId="12" borderId="1" xfId="8" applyNumberFormat="1" applyFill="1" applyAlignment="1">
      <alignment horizontal="right" vertical="center"/>
    </xf>
    <xf numFmtId="0" fontId="66" fillId="12" borderId="1" xfId="8" applyFill="1"/>
    <xf numFmtId="0" fontId="110" fillId="0" borderId="106" xfId="0" applyFont="1" applyBorder="1" applyAlignment="1">
      <alignment horizontal="center"/>
    </xf>
    <xf numFmtId="0" fontId="110" fillId="0" borderId="146" xfId="0" applyFont="1" applyBorder="1" applyAlignment="1">
      <alignment horizontal="center"/>
    </xf>
    <xf numFmtId="49" fontId="139" fillId="12" borderId="1" xfId="9" applyNumberFormat="1" applyFont="1" applyFill="1" applyAlignment="1">
      <alignment horizontal="left" vertical="center"/>
    </xf>
    <xf numFmtId="173" fontId="139" fillId="12" borderId="1" xfId="9" applyNumberFormat="1" applyFont="1" applyFill="1" applyAlignment="1">
      <alignment horizontal="right" vertical="center"/>
    </xf>
    <xf numFmtId="49" fontId="65" fillId="12" borderId="1" xfId="9" applyNumberFormat="1" applyFill="1" applyAlignment="1">
      <alignment horizontal="left" vertical="center"/>
    </xf>
    <xf numFmtId="173" fontId="65" fillId="12" borderId="1" xfId="9" applyNumberFormat="1" applyFill="1" applyAlignment="1">
      <alignment horizontal="right" vertical="center"/>
    </xf>
    <xf numFmtId="0" fontId="65" fillId="12" borderId="1" xfId="9" applyFill="1"/>
    <xf numFmtId="49" fontId="104" fillId="0" borderId="44" xfId="0" applyNumberFormat="1" applyFont="1" applyBorder="1" applyAlignment="1">
      <alignment horizontal="left" vertical="top"/>
    </xf>
    <xf numFmtId="0" fontId="72" fillId="0" borderId="0" xfId="0" applyFont="1" applyAlignment="1">
      <alignment horizontal="center"/>
    </xf>
    <xf numFmtId="166" fontId="73" fillId="0" borderId="1" xfId="0" applyNumberFormat="1" applyFont="1" applyBorder="1" applyAlignment="1">
      <alignment horizontal="center"/>
    </xf>
    <xf numFmtId="0" fontId="140" fillId="0" borderId="0" xfId="0" applyFont="1"/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1" fillId="0" borderId="0" xfId="0" applyFont="1"/>
    <xf numFmtId="2" fontId="84" fillId="0" borderId="15" xfId="0" applyNumberFormat="1" applyFont="1" applyBorder="1"/>
    <xf numFmtId="166" fontId="64" fillId="0" borderId="179" xfId="3" applyNumberFormat="1" applyFont="1" applyBorder="1" applyAlignment="1">
      <alignment horizontal="center"/>
    </xf>
    <xf numFmtId="166" fontId="64" fillId="0" borderId="180" xfId="3" applyNumberFormat="1" applyFont="1" applyBorder="1" applyAlignment="1">
      <alignment horizontal="center"/>
    </xf>
    <xf numFmtId="166" fontId="64" fillId="0" borderId="172" xfId="3" applyNumberFormat="1" applyFont="1" applyBorder="1" applyAlignment="1">
      <alignment horizontal="center"/>
    </xf>
    <xf numFmtId="9" fontId="64" fillId="0" borderId="180" xfId="4" applyFont="1" applyBorder="1" applyAlignment="1">
      <alignment horizontal="center"/>
    </xf>
    <xf numFmtId="9" fontId="64" fillId="0" borderId="181" xfId="4" applyFont="1" applyBorder="1" applyAlignment="1">
      <alignment horizontal="center"/>
    </xf>
    <xf numFmtId="9" fontId="64" fillId="0" borderId="179" xfId="4" applyFont="1" applyFill="1" applyBorder="1" applyAlignment="1">
      <alignment horizontal="center"/>
    </xf>
    <xf numFmtId="9" fontId="64" fillId="0" borderId="172" xfId="4" applyFont="1" applyBorder="1" applyAlignment="1">
      <alignment horizontal="center"/>
    </xf>
    <xf numFmtId="0" fontId="64" fillId="0" borderId="188" xfId="3" applyFont="1" applyBorder="1"/>
    <xf numFmtId="166" fontId="64" fillId="0" borderId="189" xfId="3" applyNumberFormat="1" applyFont="1" applyBorder="1" applyAlignment="1">
      <alignment horizontal="center"/>
    </xf>
    <xf numFmtId="166" fontId="64" fillId="0" borderId="190" xfId="3" applyNumberFormat="1" applyFont="1" applyBorder="1" applyAlignment="1">
      <alignment horizontal="center"/>
    </xf>
    <xf numFmtId="9" fontId="64" fillId="0" borderId="189" xfId="4" applyFont="1" applyBorder="1" applyAlignment="1">
      <alignment horizontal="center"/>
    </xf>
    <xf numFmtId="166" fontId="64" fillId="0" borderId="185" xfId="3" applyNumberFormat="1" applyFont="1" applyBorder="1" applyAlignment="1">
      <alignment horizontal="center"/>
    </xf>
    <xf numFmtId="166" fontId="64" fillId="0" borderId="175" xfId="3" applyNumberFormat="1" applyFont="1" applyBorder="1" applyAlignment="1">
      <alignment horizontal="center"/>
    </xf>
    <xf numFmtId="9" fontId="64" fillId="0" borderId="185" xfId="4" applyFont="1" applyBorder="1" applyAlignment="1">
      <alignment horizontal="center"/>
    </xf>
    <xf numFmtId="0" fontId="64" fillId="0" borderId="1" xfId="3" applyFont="1"/>
    <xf numFmtId="166" fontId="64" fillId="0" borderId="179" xfId="4" applyNumberFormat="1" applyFont="1" applyFill="1" applyBorder="1" applyAlignment="1">
      <alignment horizontal="center"/>
    </xf>
    <xf numFmtId="166" fontId="64" fillId="0" borderId="184" xfId="3" applyNumberFormat="1" applyFont="1" applyBorder="1" applyAlignment="1">
      <alignment horizontal="center"/>
    </xf>
    <xf numFmtId="0" fontId="64" fillId="0" borderId="171" xfId="3" applyFont="1" applyBorder="1" applyAlignment="1">
      <alignment horizontal="left" indent="1"/>
    </xf>
    <xf numFmtId="0" fontId="64" fillId="0" borderId="171" xfId="3" applyFont="1" applyBorder="1" applyAlignment="1">
      <alignment horizontal="left"/>
    </xf>
    <xf numFmtId="9" fontId="64" fillId="0" borderId="179" xfId="1" applyFont="1" applyBorder="1" applyAlignment="1">
      <alignment horizontal="center"/>
    </xf>
    <xf numFmtId="0" fontId="64" fillId="0" borderId="174" xfId="3" applyFont="1" applyBorder="1" applyAlignment="1">
      <alignment horizontal="left"/>
    </xf>
    <xf numFmtId="0" fontId="137" fillId="21" borderId="169" xfId="3" applyFont="1" applyFill="1" applyBorder="1" applyAlignment="1">
      <alignment horizontal="center"/>
    </xf>
    <xf numFmtId="0" fontId="137" fillId="21" borderId="176" xfId="3" applyFont="1" applyFill="1" applyBorder="1" applyAlignment="1">
      <alignment horizontal="center"/>
    </xf>
    <xf numFmtId="0" fontId="137" fillId="21" borderId="177" xfId="3" applyFont="1" applyFill="1" applyBorder="1" applyAlignment="1">
      <alignment horizontal="center"/>
    </xf>
    <xf numFmtId="0" fontId="137" fillId="21" borderId="170" xfId="3" applyFont="1" applyFill="1" applyBorder="1" applyAlignment="1">
      <alignment horizontal="center"/>
    </xf>
    <xf numFmtId="0" fontId="70" fillId="0" borderId="171" xfId="3" applyBorder="1" applyAlignment="1">
      <alignment horizontal="left"/>
    </xf>
    <xf numFmtId="166" fontId="64" fillId="0" borderId="179" xfId="1" applyNumberFormat="1" applyFont="1" applyBorder="1" applyAlignment="1">
      <alignment horizontal="center"/>
    </xf>
    <xf numFmtId="166" fontId="70" fillId="0" borderId="183" xfId="3" applyNumberFormat="1" applyBorder="1" applyAlignment="1">
      <alignment horizontal="center"/>
    </xf>
    <xf numFmtId="166" fontId="70" fillId="0" borderId="198" xfId="3" applyNumberFormat="1" applyBorder="1" applyAlignment="1">
      <alignment horizontal="center"/>
    </xf>
    <xf numFmtId="166" fontId="70" fillId="0" borderId="180" xfId="3" applyNumberFormat="1" applyBorder="1" applyAlignment="1">
      <alignment horizontal="center"/>
    </xf>
    <xf numFmtId="166" fontId="70" fillId="0" borderId="172" xfId="3" applyNumberFormat="1" applyBorder="1" applyAlignment="1">
      <alignment horizontal="center"/>
    </xf>
    <xf numFmtId="170" fontId="64" fillId="0" borderId="179" xfId="1" applyNumberFormat="1" applyFont="1" applyBorder="1" applyAlignment="1">
      <alignment horizontal="center"/>
    </xf>
    <xf numFmtId="0" fontId="70" fillId="0" borderId="174" xfId="3" applyBorder="1" applyAlignment="1">
      <alignment horizontal="left"/>
    </xf>
    <xf numFmtId="170" fontId="64" fillId="0" borderId="184" xfId="1" applyNumberFormat="1" applyFont="1" applyBorder="1" applyAlignment="1">
      <alignment horizontal="center"/>
    </xf>
    <xf numFmtId="0" fontId="137" fillId="0" borderId="1" xfId="3" applyFont="1"/>
    <xf numFmtId="49" fontId="62" fillId="12" borderId="1" xfId="12" applyNumberFormat="1" applyFill="1" applyAlignment="1">
      <alignment horizontal="left" vertical="center"/>
    </xf>
    <xf numFmtId="0" fontId="62" fillId="12" borderId="1" xfId="12" applyFill="1"/>
    <xf numFmtId="2" fontId="62" fillId="12" borderId="1" xfId="12" applyNumberFormat="1" applyFill="1" applyAlignment="1">
      <alignment horizontal="right" vertical="center"/>
    </xf>
    <xf numFmtId="10" fontId="91" fillId="0" borderId="0" xfId="0" applyNumberFormat="1" applyFont="1"/>
    <xf numFmtId="1" fontId="91" fillId="0" borderId="0" xfId="0" applyNumberFormat="1" applyFont="1"/>
    <xf numFmtId="9" fontId="64" fillId="0" borderId="179" xfId="1" applyFont="1" applyFill="1" applyBorder="1" applyAlignment="1">
      <alignment horizontal="center"/>
    </xf>
    <xf numFmtId="170" fontId="64" fillId="0" borderId="180" xfId="4" applyNumberFormat="1" applyFont="1" applyBorder="1" applyAlignment="1">
      <alignment horizontal="center"/>
    </xf>
    <xf numFmtId="170" fontId="64" fillId="0" borderId="181" xfId="4" applyNumberFormat="1" applyFont="1" applyBorder="1" applyAlignment="1">
      <alignment horizontal="center"/>
    </xf>
    <xf numFmtId="170" fontId="64" fillId="0" borderId="185" xfId="4" applyNumberFormat="1" applyFont="1" applyBorder="1" applyAlignment="1">
      <alignment horizontal="center"/>
    </xf>
    <xf numFmtId="170" fontId="64" fillId="0" borderId="186" xfId="4" applyNumberFormat="1" applyFont="1" applyBorder="1" applyAlignment="1">
      <alignment horizontal="center"/>
    </xf>
    <xf numFmtId="174" fontId="64" fillId="0" borderId="180" xfId="3" applyNumberFormat="1" applyFont="1" applyBorder="1" applyAlignment="1">
      <alignment horizontal="center"/>
    </xf>
    <xf numFmtId="174" fontId="64" fillId="0" borderId="172" xfId="3" applyNumberFormat="1" applyFont="1" applyBorder="1" applyAlignment="1">
      <alignment horizontal="center"/>
    </xf>
    <xf numFmtId="0" fontId="64" fillId="22" borderId="171" xfId="3" applyFont="1" applyFill="1" applyBorder="1" applyAlignment="1">
      <alignment horizontal="left"/>
    </xf>
    <xf numFmtId="174" fontId="64" fillId="22" borderId="179" xfId="3" applyNumberFormat="1" applyFont="1" applyFill="1" applyBorder="1" applyAlignment="1">
      <alignment horizontal="center"/>
    </xf>
    <xf numFmtId="0" fontId="70" fillId="22" borderId="171" xfId="3" applyFill="1" applyBorder="1" applyAlignment="1">
      <alignment horizontal="left" indent="1"/>
    </xf>
    <xf numFmtId="37" fontId="60" fillId="22" borderId="171" xfId="3" applyNumberFormat="1" applyFont="1" applyFill="1" applyBorder="1" applyAlignment="1">
      <alignment horizontal="center"/>
    </xf>
    <xf numFmtId="1" fontId="64" fillId="0" borderId="180" xfId="3" applyNumberFormat="1" applyFont="1" applyBorder="1" applyAlignment="1">
      <alignment horizontal="center"/>
    </xf>
    <xf numFmtId="1" fontId="64" fillId="0" borderId="172" xfId="3" applyNumberFormat="1" applyFont="1" applyBorder="1" applyAlignment="1">
      <alignment horizontal="center"/>
    </xf>
    <xf numFmtId="0" fontId="137" fillId="0" borderId="173" xfId="3" applyFont="1" applyBorder="1"/>
    <xf numFmtId="37" fontId="137" fillId="0" borderId="182" xfId="3" applyNumberFormat="1" applyFont="1" applyBorder="1" applyAlignment="1">
      <alignment horizontal="center"/>
    </xf>
    <xf numFmtId="1" fontId="137" fillId="0" borderId="183" xfId="3" applyNumberFormat="1" applyFont="1" applyBorder="1" applyAlignment="1">
      <alignment horizontal="center"/>
    </xf>
    <xf numFmtId="1" fontId="137" fillId="0" borderId="198" xfId="3" applyNumberFormat="1" applyFont="1" applyBorder="1" applyAlignment="1">
      <alignment horizontal="center"/>
    </xf>
    <xf numFmtId="0" fontId="59" fillId="22" borderId="174" xfId="3" applyFont="1" applyFill="1" applyBorder="1" applyAlignment="1">
      <alignment horizontal="left" indent="1"/>
    </xf>
    <xf numFmtId="166" fontId="64" fillId="22" borderId="184" xfId="3" applyNumberFormat="1" applyFont="1" applyFill="1" applyBorder="1" applyAlignment="1">
      <alignment horizontal="center"/>
    </xf>
    <xf numFmtId="1" fontId="105" fillId="10" borderId="44" xfId="0" applyNumberFormat="1" applyFont="1" applyFill="1" applyBorder="1" applyAlignment="1">
      <alignment horizontal="left" vertical="top"/>
    </xf>
    <xf numFmtId="0" fontId="104" fillId="10" borderId="48" xfId="0" applyFont="1" applyFill="1" applyBorder="1" applyAlignment="1">
      <alignment horizontal="left" vertical="top"/>
    </xf>
    <xf numFmtId="49" fontId="104" fillId="10" borderId="44" xfId="0" applyNumberFormat="1" applyFont="1" applyFill="1" applyBorder="1" applyAlignment="1">
      <alignment horizontal="left" vertical="top"/>
    </xf>
    <xf numFmtId="3" fontId="142" fillId="0" borderId="0" xfId="0" applyNumberFormat="1" applyFont="1"/>
    <xf numFmtId="3" fontId="81" fillId="0" borderId="0" xfId="0" applyNumberFormat="1" applyFont="1"/>
    <xf numFmtId="0" fontId="108" fillId="0" borderId="0" xfId="0" applyFont="1"/>
    <xf numFmtId="3" fontId="91" fillId="0" borderId="0" xfId="0" applyNumberFormat="1" applyFont="1"/>
    <xf numFmtId="10" fontId="83" fillId="0" borderId="0" xfId="0" applyNumberFormat="1" applyFont="1"/>
    <xf numFmtId="9" fontId="64" fillId="0" borderId="180" xfId="4" applyFont="1" applyFill="1" applyBorder="1" applyAlignment="1">
      <alignment horizontal="center"/>
    </xf>
    <xf numFmtId="9" fontId="64" fillId="23" borderId="180" xfId="4" applyFont="1" applyFill="1" applyBorder="1" applyAlignment="1">
      <alignment horizontal="center"/>
    </xf>
    <xf numFmtId="0" fontId="70" fillId="0" borderId="172" xfId="3" applyBorder="1"/>
    <xf numFmtId="9" fontId="64" fillId="0" borderId="189" xfId="4" applyFont="1" applyFill="1" applyBorder="1" applyAlignment="1">
      <alignment horizontal="center"/>
    </xf>
    <xf numFmtId="9" fontId="64" fillId="0" borderId="185" xfId="4" applyFont="1" applyFill="1" applyBorder="1" applyAlignment="1">
      <alignment horizontal="center"/>
    </xf>
    <xf numFmtId="170" fontId="92" fillId="3" borderId="95" xfId="0" applyNumberFormat="1" applyFont="1" applyFill="1" applyBorder="1"/>
    <xf numFmtId="0" fontId="83" fillId="0" borderId="54" xfId="0" applyFont="1" applyBorder="1"/>
    <xf numFmtId="0" fontId="83" fillId="0" borderId="55" xfId="0" applyFont="1" applyBorder="1"/>
    <xf numFmtId="37" fontId="83" fillId="0" borderId="65" xfId="0" applyNumberFormat="1" applyFont="1" applyBorder="1"/>
    <xf numFmtId="1" fontId="73" fillId="0" borderId="48" xfId="0" applyNumberFormat="1" applyFont="1" applyBorder="1" applyAlignment="1">
      <alignment horizontal="left" vertical="top"/>
    </xf>
    <xf numFmtId="49" fontId="73" fillId="0" borderId="48" xfId="0" applyNumberFormat="1" applyFont="1" applyBorder="1" applyAlignment="1">
      <alignment horizontal="left" vertical="top"/>
    </xf>
    <xf numFmtId="49" fontId="73" fillId="0" borderId="49" xfId="0" applyNumberFormat="1" applyFont="1" applyBorder="1" applyAlignment="1">
      <alignment horizontal="left" vertical="top"/>
    </xf>
    <xf numFmtId="0" fontId="91" fillId="23" borderId="0" xfId="0" applyFont="1" applyFill="1"/>
    <xf numFmtId="49" fontId="139" fillId="0" borderId="1" xfId="20" applyNumberFormat="1" applyFont="1" applyAlignment="1">
      <alignment horizontal="center" vertical="center"/>
    </xf>
    <xf numFmtId="2" fontId="139" fillId="0" borderId="1" xfId="20" applyNumberFormat="1" applyFont="1" applyAlignment="1">
      <alignment horizontal="center" vertical="center"/>
    </xf>
    <xf numFmtId="175" fontId="139" fillId="0" borderId="1" xfId="20" applyNumberFormat="1" applyFont="1" applyAlignment="1">
      <alignment horizontal="center" vertical="center"/>
    </xf>
    <xf numFmtId="0" fontId="0" fillId="0" borderId="1" xfId="20" applyFont="1"/>
    <xf numFmtId="0" fontId="145" fillId="0" borderId="1" xfId="20" applyFont="1" applyAlignment="1">
      <alignment horizontal="center"/>
    </xf>
    <xf numFmtId="49" fontId="144" fillId="0" borderId="1" xfId="20" applyNumberFormat="1" applyAlignment="1">
      <alignment horizontal="center" vertical="center"/>
    </xf>
    <xf numFmtId="175" fontId="144" fillId="0" borderId="1" xfId="20" applyNumberFormat="1" applyAlignment="1">
      <alignment horizontal="center" vertical="center"/>
    </xf>
    <xf numFmtId="3" fontId="14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3" fillId="0" borderId="0" xfId="0" quotePrefix="1" applyFont="1"/>
    <xf numFmtId="9" fontId="137" fillId="23" borderId="183" xfId="4" applyFont="1" applyFill="1" applyBorder="1" applyAlignment="1">
      <alignment horizontal="center"/>
    </xf>
    <xf numFmtId="9" fontId="137" fillId="23" borderId="180" xfId="4" applyFont="1" applyFill="1" applyBorder="1" applyAlignment="1">
      <alignment horizontal="center"/>
    </xf>
    <xf numFmtId="0" fontId="108" fillId="12" borderId="0" xfId="0" quotePrefix="1" applyFont="1" applyFill="1"/>
    <xf numFmtId="0" fontId="110" fillId="25" borderId="106" xfId="0" applyFont="1" applyFill="1" applyBorder="1"/>
    <xf numFmtId="0" fontId="110" fillId="25" borderId="107" xfId="0" applyFont="1" applyFill="1" applyBorder="1"/>
    <xf numFmtId="0" fontId="110" fillId="25" borderId="108" xfId="0" applyFont="1" applyFill="1" applyBorder="1"/>
    <xf numFmtId="3" fontId="109" fillId="25" borderId="110" xfId="0" applyNumberFormat="1" applyFont="1" applyFill="1" applyBorder="1" applyAlignment="1">
      <alignment horizontal="center"/>
    </xf>
    <xf numFmtId="3" fontId="109" fillId="25" borderId="0" xfId="0" applyNumberFormat="1" applyFont="1" applyFill="1" applyAlignment="1">
      <alignment horizontal="center"/>
    </xf>
    <xf numFmtId="3" fontId="109" fillId="25" borderId="111" xfId="0" applyNumberFormat="1" applyFont="1" applyFill="1" applyBorder="1" applyAlignment="1">
      <alignment horizontal="center"/>
    </xf>
    <xf numFmtId="3" fontId="109" fillId="25" borderId="112" xfId="0" applyNumberFormat="1" applyFont="1" applyFill="1" applyBorder="1" applyAlignment="1">
      <alignment horizontal="center"/>
    </xf>
    <xf numFmtId="3" fontId="109" fillId="25" borderId="105" xfId="0" applyNumberFormat="1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right"/>
      <protection locked="0"/>
    </xf>
    <xf numFmtId="3" fontId="109" fillId="25" borderId="110" xfId="0" applyNumberFormat="1" applyFont="1" applyFill="1" applyBorder="1" applyProtection="1">
      <protection locked="0"/>
    </xf>
    <xf numFmtId="3" fontId="109" fillId="25" borderId="0" xfId="0" applyNumberFormat="1" applyFont="1" applyFill="1"/>
    <xf numFmtId="3" fontId="109" fillId="25" borderId="111" xfId="0" applyNumberFormat="1" applyFont="1" applyFill="1" applyBorder="1" applyProtection="1">
      <protection locked="0"/>
    </xf>
    <xf numFmtId="3" fontId="109" fillId="25" borderId="110" xfId="0" applyNumberFormat="1" applyFont="1" applyFill="1" applyBorder="1"/>
    <xf numFmtId="3" fontId="109" fillId="25" borderId="111" xfId="0" applyNumberFormat="1" applyFont="1" applyFill="1" applyBorder="1"/>
    <xf numFmtId="3" fontId="110" fillId="25" borderId="109" xfId="0" applyNumberFormat="1" applyFont="1" applyFill="1" applyBorder="1"/>
    <xf numFmtId="3" fontId="110" fillId="25" borderId="114" xfId="0" applyNumberFormat="1" applyFont="1" applyFill="1" applyBorder="1"/>
    <xf numFmtId="3" fontId="110" fillId="25" borderId="115" xfId="0" applyNumberFormat="1" applyFont="1" applyFill="1" applyBorder="1"/>
    <xf numFmtId="0" fontId="109" fillId="25" borderId="110" xfId="0" applyFont="1" applyFill="1" applyBorder="1"/>
    <xf numFmtId="0" fontId="109" fillId="25" borderId="111" xfId="0" applyFont="1" applyFill="1" applyBorder="1"/>
    <xf numFmtId="3" fontId="109" fillId="25" borderId="116" xfId="0" applyNumberFormat="1" applyFont="1" applyFill="1" applyBorder="1" applyProtection="1">
      <protection locked="0"/>
    </xf>
    <xf numFmtId="3" fontId="109" fillId="25" borderId="55" xfId="0" applyNumberFormat="1" applyFont="1" applyFill="1" applyBorder="1"/>
    <xf numFmtId="3" fontId="109" fillId="25" borderId="117" xfId="0" applyNumberFormat="1" applyFont="1" applyFill="1" applyBorder="1" applyProtection="1">
      <protection locked="0"/>
    </xf>
    <xf numFmtId="3" fontId="109" fillId="25" borderId="109" xfId="0" applyNumberFormat="1" applyFont="1" applyFill="1" applyBorder="1"/>
    <xf numFmtId="3" fontId="109" fillId="25" borderId="114" xfId="0" applyNumberFormat="1" applyFont="1" applyFill="1" applyBorder="1"/>
    <xf numFmtId="3" fontId="109" fillId="25" borderId="115" xfId="0" applyNumberFormat="1" applyFont="1" applyFill="1" applyBorder="1"/>
    <xf numFmtId="0" fontId="109" fillId="25" borderId="0" xfId="0" applyFont="1" applyFill="1"/>
    <xf numFmtId="37" fontId="109" fillId="25" borderId="111" xfId="0" applyNumberFormat="1" applyFont="1" applyFill="1" applyBorder="1"/>
    <xf numFmtId="37" fontId="110" fillId="26" borderId="118" xfId="0" applyNumberFormat="1" applyFont="1" applyFill="1" applyBorder="1"/>
    <xf numFmtId="171" fontId="110" fillId="26" borderId="119" xfId="0" applyNumberFormat="1" applyFont="1" applyFill="1" applyBorder="1"/>
    <xf numFmtId="37" fontId="110" fillId="26" borderId="120" xfId="0" applyNumberFormat="1" applyFont="1" applyFill="1" applyBorder="1"/>
    <xf numFmtId="0" fontId="110" fillId="26" borderId="121" xfId="0" applyFont="1" applyFill="1" applyBorder="1"/>
    <xf numFmtId="0" fontId="110" fillId="26" borderId="122" xfId="0" applyFont="1" applyFill="1" applyBorder="1"/>
    <xf numFmtId="0" fontId="110" fillId="26" borderId="123" xfId="0" applyFont="1" applyFill="1" applyBorder="1"/>
    <xf numFmtId="0" fontId="110" fillId="27" borderId="110" xfId="0" applyFont="1" applyFill="1" applyBorder="1"/>
    <xf numFmtId="0" fontId="110" fillId="27" borderId="0" xfId="0" applyFont="1" applyFill="1"/>
    <xf numFmtId="0" fontId="110" fillId="27" borderId="111" xfId="0" applyFont="1" applyFill="1" applyBorder="1"/>
    <xf numFmtId="0" fontId="109" fillId="25" borderId="0" xfId="0" applyFont="1" applyFill="1" applyAlignment="1">
      <alignment horizontal="center"/>
    </xf>
    <xf numFmtId="9" fontId="109" fillId="25" borderId="110" xfId="1" applyFont="1" applyFill="1" applyBorder="1"/>
    <xf numFmtId="37" fontId="109" fillId="25" borderId="0" xfId="0" applyNumberFormat="1" applyFont="1" applyFill="1"/>
    <xf numFmtId="37" fontId="109" fillId="25" borderId="111" xfId="0" applyNumberFormat="1" applyFont="1" applyFill="1" applyBorder="1" applyProtection="1">
      <protection locked="0"/>
    </xf>
    <xf numFmtId="9" fontId="109" fillId="25" borderId="112" xfId="1" applyFont="1" applyFill="1" applyBorder="1"/>
    <xf numFmtId="37" fontId="109" fillId="25" borderId="105" xfId="0" applyNumberFormat="1" applyFont="1" applyFill="1" applyBorder="1"/>
    <xf numFmtId="37" fontId="109" fillId="25" borderId="113" xfId="0" applyNumberFormat="1" applyFont="1" applyFill="1" applyBorder="1" applyProtection="1">
      <protection locked="0"/>
    </xf>
    <xf numFmtId="0" fontId="109" fillId="25" borderId="112" xfId="0" applyFont="1" applyFill="1" applyBorder="1"/>
    <xf numFmtId="0" fontId="110" fillId="26" borderId="124" xfId="0" applyFont="1" applyFill="1" applyBorder="1" applyAlignment="1">
      <alignment horizontal="center"/>
    </xf>
    <xf numFmtId="170" fontId="110" fillId="26" borderId="125" xfId="0" applyNumberFormat="1" applyFont="1" applyFill="1" applyBorder="1"/>
    <xf numFmtId="37" fontId="110" fillId="26" borderId="126" xfId="0" applyNumberFormat="1" applyFont="1" applyFill="1" applyBorder="1"/>
    <xf numFmtId="0" fontId="109" fillId="25" borderId="109" xfId="0" applyFont="1" applyFill="1" applyBorder="1"/>
    <xf numFmtId="0" fontId="109" fillId="25" borderId="114" xfId="0" applyFont="1" applyFill="1" applyBorder="1"/>
    <xf numFmtId="37" fontId="109" fillId="25" borderId="115" xfId="0" applyNumberFormat="1" applyFont="1" applyFill="1" applyBorder="1" applyProtection="1">
      <protection locked="0"/>
    </xf>
    <xf numFmtId="0" fontId="109" fillId="25" borderId="105" xfId="0" applyFont="1" applyFill="1" applyBorder="1"/>
    <xf numFmtId="37" fontId="109" fillId="25" borderId="113" xfId="0" applyNumberFormat="1" applyFont="1" applyFill="1" applyBorder="1"/>
    <xf numFmtId="0" fontId="109" fillId="25" borderId="116" xfId="0" applyFont="1" applyFill="1" applyBorder="1"/>
    <xf numFmtId="0" fontId="109" fillId="25" borderId="55" xfId="0" applyFont="1" applyFill="1" applyBorder="1"/>
    <xf numFmtId="37" fontId="109" fillId="25" borderId="117" xfId="0" applyNumberFormat="1" applyFont="1" applyFill="1" applyBorder="1" applyProtection="1">
      <protection locked="0"/>
    </xf>
    <xf numFmtId="37" fontId="110" fillId="26" borderId="128" xfId="0" applyNumberFormat="1" applyFont="1" applyFill="1" applyBorder="1"/>
    <xf numFmtId="0" fontId="110" fillId="26" borderId="130" xfId="0" applyFont="1" applyFill="1" applyBorder="1" applyAlignment="1">
      <alignment horizontal="center"/>
    </xf>
    <xf numFmtId="170" fontId="110" fillId="26" borderId="131" xfId="0" applyNumberFormat="1" applyFont="1" applyFill="1" applyBorder="1"/>
    <xf numFmtId="37" fontId="110" fillId="26" borderId="132" xfId="0" applyNumberFormat="1" applyFont="1" applyFill="1" applyBorder="1"/>
    <xf numFmtId="0" fontId="109" fillId="27" borderId="112" xfId="0" applyFont="1" applyFill="1" applyBorder="1"/>
    <xf numFmtId="0" fontId="109" fillId="27" borderId="105" xfId="0" applyFont="1" applyFill="1" applyBorder="1"/>
    <xf numFmtId="37" fontId="110" fillId="27" borderId="111" xfId="0" applyNumberFormat="1" applyFont="1" applyFill="1" applyBorder="1"/>
    <xf numFmtId="0" fontId="109" fillId="26" borderId="133" xfId="0" applyFont="1" applyFill="1" applyBorder="1"/>
    <xf numFmtId="0" fontId="109" fillId="26" borderId="134" xfId="0" applyFont="1" applyFill="1" applyBorder="1"/>
    <xf numFmtId="37" fontId="110" fillId="26" borderId="135" xfId="0" applyNumberFormat="1" applyFont="1" applyFill="1" applyBorder="1"/>
    <xf numFmtId="0" fontId="123" fillId="25" borderId="0" xfId="0" applyFont="1" applyFill="1"/>
    <xf numFmtId="37" fontId="123" fillId="25" borderId="0" xfId="0" applyNumberFormat="1" applyFont="1" applyFill="1"/>
    <xf numFmtId="0" fontId="121" fillId="25" borderId="0" xfId="0" applyFont="1" applyFill="1"/>
    <xf numFmtId="0" fontId="119" fillId="25" borderId="0" xfId="0" applyFont="1" applyFill="1"/>
    <xf numFmtId="0" fontId="109" fillId="25" borderId="110" xfId="0" applyFont="1" applyFill="1" applyBorder="1" applyAlignment="1">
      <alignment horizontal="center"/>
    </xf>
    <xf numFmtId="0" fontId="109" fillId="25" borderId="111" xfId="0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center"/>
      <protection locked="0"/>
    </xf>
    <xf numFmtId="3" fontId="109" fillId="25" borderId="112" xfId="0" applyNumberFormat="1" applyFont="1" applyFill="1" applyBorder="1"/>
    <xf numFmtId="3" fontId="109" fillId="25" borderId="105" xfId="0" applyNumberFormat="1" applyFont="1" applyFill="1" applyBorder="1"/>
    <xf numFmtId="3" fontId="109" fillId="25" borderId="113" xfId="0" applyNumberFormat="1" applyFont="1" applyFill="1" applyBorder="1"/>
    <xf numFmtId="0" fontId="110" fillId="25" borderId="110" xfId="0" applyFont="1" applyFill="1" applyBorder="1"/>
    <xf numFmtId="0" fontId="110" fillId="25" borderId="0" xfId="0" applyFont="1" applyFill="1"/>
    <xf numFmtId="0" fontId="110" fillId="25" borderId="111" xfId="0" applyFont="1" applyFill="1" applyBorder="1"/>
    <xf numFmtId="9" fontId="109" fillId="25" borderId="110" xfId="0" applyNumberFormat="1" applyFont="1" applyFill="1" applyBorder="1"/>
    <xf numFmtId="0" fontId="109" fillId="25" borderId="110" xfId="0" applyFont="1" applyFill="1" applyBorder="1" applyAlignment="1">
      <alignment horizontal="right"/>
    </xf>
    <xf numFmtId="170" fontId="109" fillId="25" borderId="0" xfId="0" applyNumberFormat="1" applyFont="1" applyFill="1"/>
    <xf numFmtId="0" fontId="110" fillId="26" borderId="127" xfId="0" applyFont="1" applyFill="1" applyBorder="1" applyAlignment="1">
      <alignment horizontal="center"/>
    </xf>
    <xf numFmtId="170" fontId="110" fillId="26" borderId="136" xfId="0" applyNumberFormat="1" applyFont="1" applyFill="1" applyBorder="1"/>
    <xf numFmtId="0" fontId="110" fillId="26" borderId="133" xfId="0" applyFont="1" applyFill="1" applyBorder="1"/>
    <xf numFmtId="0" fontId="110" fillId="26" borderId="134" xfId="0" applyFont="1" applyFill="1" applyBorder="1"/>
    <xf numFmtId="37" fontId="121" fillId="25" borderId="0" xfId="0" applyNumberFormat="1" applyFont="1" applyFill="1"/>
    <xf numFmtId="37" fontId="109" fillId="25" borderId="110" xfId="0" applyNumberFormat="1" applyFont="1" applyFill="1" applyBorder="1" applyProtection="1">
      <protection locked="0"/>
    </xf>
    <xf numFmtId="37" fontId="109" fillId="25" borderId="0" xfId="0" applyNumberFormat="1" applyFont="1" applyFill="1" applyProtection="1">
      <protection locked="0"/>
    </xf>
    <xf numFmtId="37" fontId="109" fillId="25" borderId="110" xfId="0" applyNumberFormat="1" applyFont="1" applyFill="1" applyBorder="1"/>
    <xf numFmtId="170" fontId="109" fillId="25" borderId="111" xfId="0" applyNumberFormat="1" applyFont="1" applyFill="1" applyBorder="1"/>
    <xf numFmtId="37" fontId="109" fillId="25" borderId="112" xfId="0" applyNumberFormat="1" applyFont="1" applyFill="1" applyBorder="1"/>
    <xf numFmtId="2" fontId="109" fillId="25" borderId="105" xfId="0" applyNumberFormat="1" applyFont="1" applyFill="1" applyBorder="1"/>
    <xf numFmtId="170" fontId="109" fillId="25" borderId="113" xfId="0" applyNumberFormat="1" applyFont="1" applyFill="1" applyBorder="1"/>
    <xf numFmtId="37" fontId="109" fillId="25" borderId="109" xfId="0" applyNumberFormat="1" applyFont="1" applyFill="1" applyBorder="1" applyProtection="1">
      <protection locked="0"/>
    </xf>
    <xf numFmtId="37" fontId="109" fillId="25" borderId="114" xfId="0" applyNumberFormat="1" applyFont="1" applyFill="1" applyBorder="1" applyProtection="1">
      <protection locked="0"/>
    </xf>
    <xf numFmtId="171" fontId="109" fillId="25" borderId="0" xfId="0" applyNumberFormat="1" applyFont="1" applyFill="1"/>
    <xf numFmtId="172" fontId="109" fillId="25" borderId="0" xfId="0" applyNumberFormat="1" applyFont="1" applyFill="1"/>
    <xf numFmtId="37" fontId="110" fillId="25" borderId="110" xfId="0" applyNumberFormat="1" applyFont="1" applyFill="1" applyBorder="1"/>
    <xf numFmtId="171" fontId="110" fillId="25" borderId="0" xfId="0" applyNumberFormat="1" applyFont="1" applyFill="1"/>
    <xf numFmtId="37" fontId="110" fillId="25" borderId="112" xfId="0" applyNumberFormat="1" applyFont="1" applyFill="1" applyBorder="1"/>
    <xf numFmtId="172" fontId="109" fillId="25" borderId="105" xfId="0" applyNumberFormat="1" applyFont="1" applyFill="1" applyBorder="1"/>
    <xf numFmtId="37" fontId="110" fillId="27" borderId="118" xfId="0" applyNumberFormat="1" applyFont="1" applyFill="1" applyBorder="1"/>
    <xf numFmtId="37" fontId="110" fillId="27" borderId="119" xfId="0" applyNumberFormat="1" applyFont="1" applyFill="1" applyBorder="1"/>
    <xf numFmtId="37" fontId="110" fillId="27" borderId="120" xfId="0" applyNumberFormat="1" applyFont="1" applyFill="1" applyBorder="1"/>
    <xf numFmtId="37" fontId="110" fillId="27" borderId="112" xfId="0" applyNumberFormat="1" applyFont="1" applyFill="1" applyBorder="1"/>
    <xf numFmtId="39" fontId="110" fillId="27" borderId="105" xfId="0" applyNumberFormat="1" applyFont="1" applyFill="1" applyBorder="1"/>
    <xf numFmtId="170" fontId="110" fillId="25" borderId="111" xfId="0" applyNumberFormat="1" applyFont="1" applyFill="1" applyBorder="1"/>
    <xf numFmtId="37" fontId="109" fillId="25" borderId="137" xfId="0" applyNumberFormat="1" applyFont="1" applyFill="1" applyBorder="1"/>
    <xf numFmtId="171" fontId="109" fillId="25" borderId="0" xfId="0" applyNumberFormat="1" applyFont="1" applyFill="1" applyProtection="1">
      <protection locked="0"/>
    </xf>
    <xf numFmtId="171" fontId="109" fillId="25" borderId="114" xfId="0" applyNumberFormat="1" applyFont="1" applyFill="1" applyBorder="1" applyProtection="1">
      <protection locked="0"/>
    </xf>
    <xf numFmtId="171" fontId="109" fillId="25" borderId="105" xfId="0" applyNumberFormat="1" applyFont="1" applyFill="1" applyBorder="1"/>
    <xf numFmtId="37" fontId="110" fillId="27" borderId="109" xfId="0" applyNumberFormat="1" applyFont="1" applyFill="1" applyBorder="1"/>
    <xf numFmtId="171" fontId="110" fillId="27" borderId="114" xfId="0" applyNumberFormat="1" applyFont="1" applyFill="1" applyBorder="1"/>
    <xf numFmtId="37" fontId="110" fillId="27" borderId="115" xfId="0" applyNumberFormat="1" applyFont="1" applyFill="1" applyBorder="1"/>
    <xf numFmtId="37" fontId="110" fillId="26" borderId="119" xfId="0" applyNumberFormat="1" applyFont="1" applyFill="1" applyBorder="1"/>
    <xf numFmtId="170" fontId="110" fillId="26" borderId="123" xfId="0" applyNumberFormat="1" applyFont="1" applyFill="1" applyBorder="1"/>
    <xf numFmtId="170" fontId="110" fillId="27" borderId="111" xfId="0" applyNumberFormat="1" applyFont="1" applyFill="1" applyBorder="1"/>
    <xf numFmtId="0" fontId="109" fillId="25" borderId="1" xfId="0" applyFont="1" applyFill="1" applyBorder="1"/>
    <xf numFmtId="37" fontId="110" fillId="25" borderId="109" xfId="0" applyNumberFormat="1" applyFont="1" applyFill="1" applyBorder="1"/>
    <xf numFmtId="170" fontId="110" fillId="25" borderId="114" xfId="0" applyNumberFormat="1" applyFont="1" applyFill="1" applyBorder="1"/>
    <xf numFmtId="37" fontId="110" fillId="25" borderId="115" xfId="0" applyNumberFormat="1" applyFont="1" applyFill="1" applyBorder="1"/>
    <xf numFmtId="0" fontId="109" fillId="25" borderId="113" xfId="0" applyFont="1" applyFill="1" applyBorder="1"/>
    <xf numFmtId="170" fontId="109" fillId="25" borderId="0" xfId="1" applyNumberFormat="1" applyFont="1" applyFill="1"/>
    <xf numFmtId="37" fontId="109" fillId="25" borderId="116" xfId="0" applyNumberFormat="1" applyFont="1" applyFill="1" applyBorder="1" applyProtection="1">
      <protection locked="0"/>
    </xf>
    <xf numFmtId="170" fontId="109" fillId="25" borderId="55" xfId="0" applyNumberFormat="1" applyFont="1" applyFill="1" applyBorder="1"/>
    <xf numFmtId="170" fontId="110" fillId="26" borderId="119" xfId="0" applyNumberFormat="1" applyFont="1" applyFill="1" applyBorder="1"/>
    <xf numFmtId="37" fontId="110" fillId="26" borderId="140" xfId="0" applyNumberFormat="1" applyFont="1" applyFill="1" applyBorder="1"/>
    <xf numFmtId="171" fontId="110" fillId="26" borderId="141" xfId="0" applyNumberFormat="1" applyFont="1" applyFill="1" applyBorder="1"/>
    <xf numFmtId="37" fontId="110" fillId="26" borderId="142" xfId="0" applyNumberFormat="1" applyFont="1" applyFill="1" applyBorder="1"/>
    <xf numFmtId="37" fontId="110" fillId="27" borderId="110" xfId="0" applyNumberFormat="1" applyFont="1" applyFill="1" applyBorder="1"/>
    <xf numFmtId="171" fontId="110" fillId="27" borderId="0" xfId="0" applyNumberFormat="1" applyFont="1" applyFill="1"/>
    <xf numFmtId="37" fontId="110" fillId="25" borderId="0" xfId="0" applyNumberFormat="1" applyFont="1" applyFill="1"/>
    <xf numFmtId="0" fontId="109" fillId="26" borderId="143" xfId="0" applyFont="1" applyFill="1" applyBorder="1"/>
    <xf numFmtId="0" fontId="109" fillId="26" borderId="144" xfId="0" applyFont="1" applyFill="1" applyBorder="1"/>
    <xf numFmtId="37" fontId="110" fillId="26" borderId="145" xfId="0" applyNumberFormat="1" applyFont="1" applyFill="1" applyBorder="1"/>
    <xf numFmtId="37" fontId="119" fillId="25" borderId="0" xfId="0" applyNumberFormat="1" applyFont="1" applyFill="1"/>
    <xf numFmtId="0" fontId="121" fillId="25" borderId="122" xfId="0" applyFont="1" applyFill="1" applyBorder="1" applyAlignment="1">
      <alignment horizontal="center"/>
    </xf>
    <xf numFmtId="37" fontId="121" fillId="25" borderId="122" xfId="0" applyNumberFormat="1" applyFont="1" applyFill="1" applyBorder="1" applyAlignment="1">
      <alignment horizontal="center"/>
    </xf>
    <xf numFmtId="0" fontId="110" fillId="25" borderId="196" xfId="0" applyFont="1" applyFill="1" applyBorder="1"/>
    <xf numFmtId="0" fontId="110" fillId="25" borderId="197" xfId="0" applyFont="1" applyFill="1" applyBorder="1"/>
    <xf numFmtId="0" fontId="109" fillId="25" borderId="147" xfId="0" applyFont="1" applyFill="1" applyBorder="1" applyAlignment="1">
      <alignment horizontal="center"/>
    </xf>
    <xf numFmtId="0" fontId="109" fillId="25" borderId="105" xfId="0" applyFont="1" applyFill="1" applyBorder="1" applyAlignment="1">
      <alignment horizontal="center"/>
    </xf>
    <xf numFmtId="0" fontId="109" fillId="25" borderId="148" xfId="0" applyFont="1" applyFill="1" applyBorder="1" applyAlignment="1">
      <alignment horizontal="center"/>
    </xf>
    <xf numFmtId="37" fontId="113" fillId="25" borderId="147" xfId="0" applyNumberFormat="1" applyFont="1" applyFill="1" applyBorder="1"/>
    <xf numFmtId="37" fontId="113" fillId="25" borderId="105" xfId="0" applyNumberFormat="1" applyFont="1" applyFill="1" applyBorder="1"/>
    <xf numFmtId="37" fontId="113" fillId="25" borderId="148" xfId="0" applyNumberFormat="1" applyFont="1" applyFill="1" applyBorder="1"/>
    <xf numFmtId="37" fontId="126" fillId="26" borderId="147" xfId="0" applyNumberFormat="1" applyFont="1" applyFill="1" applyBorder="1"/>
    <xf numFmtId="37" fontId="126" fillId="26" borderId="105" xfId="0" applyNumberFormat="1" applyFont="1" applyFill="1" applyBorder="1"/>
    <xf numFmtId="37" fontId="126" fillId="26" borderId="148" xfId="0" applyNumberFormat="1" applyFont="1" applyFill="1" applyBorder="1"/>
    <xf numFmtId="37" fontId="113" fillId="25" borderId="72" xfId="0" applyNumberFormat="1" applyFont="1" applyFill="1" applyBorder="1"/>
    <xf numFmtId="0" fontId="113" fillId="25" borderId="0" xfId="0" applyFont="1" applyFill="1"/>
    <xf numFmtId="37" fontId="113" fillId="25" borderId="57" xfId="0" applyNumberFormat="1" applyFont="1" applyFill="1" applyBorder="1"/>
    <xf numFmtId="0" fontId="113" fillId="25" borderId="72" xfId="0" applyFont="1" applyFill="1" applyBorder="1"/>
    <xf numFmtId="171" fontId="113" fillId="25" borderId="0" xfId="0" applyNumberFormat="1" applyFont="1" applyFill="1"/>
    <xf numFmtId="0" fontId="113" fillId="25" borderId="147" xfId="0" applyFont="1" applyFill="1" applyBorder="1"/>
    <xf numFmtId="171" fontId="113" fillId="25" borderId="105" xfId="0" applyNumberFormat="1" applyFont="1" applyFill="1" applyBorder="1"/>
    <xf numFmtId="170" fontId="126" fillId="26" borderId="149" xfId="0" applyNumberFormat="1" applyFont="1" applyFill="1" applyBorder="1"/>
    <xf numFmtId="0" fontId="126" fillId="26" borderId="125" xfId="0" applyFont="1" applyFill="1" applyBorder="1"/>
    <xf numFmtId="37" fontId="126" fillId="26" borderId="150" xfId="0" applyNumberFormat="1" applyFont="1" applyFill="1" applyBorder="1"/>
    <xf numFmtId="37" fontId="113" fillId="25" borderId="57" xfId="0" applyNumberFormat="1" applyFont="1" applyFill="1" applyBorder="1" applyProtection="1">
      <protection locked="0"/>
    </xf>
    <xf numFmtId="9" fontId="113" fillId="25" borderId="105" xfId="1" applyFont="1" applyFill="1" applyBorder="1"/>
    <xf numFmtId="9" fontId="113" fillId="25" borderId="0" xfId="1" applyFont="1" applyFill="1"/>
    <xf numFmtId="171" fontId="126" fillId="26" borderId="125" xfId="0" applyNumberFormat="1" applyFont="1" applyFill="1" applyBorder="1"/>
    <xf numFmtId="0" fontId="113" fillId="25" borderId="151" xfId="0" applyFont="1" applyFill="1" applyBorder="1"/>
    <xf numFmtId="171" fontId="113" fillId="25" borderId="114" xfId="0" applyNumberFormat="1" applyFont="1" applyFill="1" applyBorder="1"/>
    <xf numFmtId="37" fontId="113" fillId="25" borderId="152" xfId="0" applyNumberFormat="1" applyFont="1" applyFill="1" applyBorder="1"/>
    <xf numFmtId="0" fontId="113" fillId="25" borderId="103" xfId="0" applyFont="1" applyFill="1" applyBorder="1"/>
    <xf numFmtId="171" fontId="113" fillId="25" borderId="55" xfId="0" applyNumberFormat="1" applyFont="1" applyFill="1" applyBorder="1"/>
    <xf numFmtId="37" fontId="113" fillId="25" borderId="65" xfId="0" applyNumberFormat="1" applyFont="1" applyFill="1" applyBorder="1"/>
    <xf numFmtId="171" fontId="113" fillId="25" borderId="1" xfId="0" applyNumberFormat="1" applyFont="1" applyFill="1" applyBorder="1"/>
    <xf numFmtId="37" fontId="113" fillId="25" borderId="148" xfId="0" applyNumberFormat="1" applyFont="1" applyFill="1" applyBorder="1" applyProtection="1">
      <protection locked="0"/>
    </xf>
    <xf numFmtId="0" fontId="146" fillId="25" borderId="72" xfId="0" applyFont="1" applyFill="1" applyBorder="1"/>
    <xf numFmtId="0" fontId="146" fillId="25" borderId="0" xfId="0" applyFont="1" applyFill="1"/>
    <xf numFmtId="37" fontId="146" fillId="25" borderId="57" xfId="0" applyNumberFormat="1" applyFont="1" applyFill="1" applyBorder="1"/>
    <xf numFmtId="170" fontId="126" fillId="25" borderId="151" xfId="0" applyNumberFormat="1" applyFont="1" applyFill="1" applyBorder="1"/>
    <xf numFmtId="0" fontId="126" fillId="25" borderId="114" xfId="0" applyFont="1" applyFill="1" applyBorder="1"/>
    <xf numFmtId="37" fontId="113" fillId="27" borderId="152" xfId="0" applyNumberFormat="1" applyFont="1" applyFill="1" applyBorder="1"/>
    <xf numFmtId="170" fontId="126" fillId="25" borderId="72" xfId="0" applyNumberFormat="1" applyFont="1" applyFill="1" applyBorder="1"/>
    <xf numFmtId="0" fontId="126" fillId="25" borderId="0" xfId="0" applyFont="1" applyFill="1"/>
    <xf numFmtId="170" fontId="126" fillId="25" borderId="147" xfId="0" applyNumberFormat="1" applyFont="1" applyFill="1" applyBorder="1"/>
    <xf numFmtId="0" fontId="113" fillId="26" borderId="125" xfId="0" applyFont="1" applyFill="1" applyBorder="1"/>
    <xf numFmtId="0" fontId="147" fillId="27" borderId="151" xfId="0" applyFont="1" applyFill="1" applyBorder="1"/>
    <xf numFmtId="0" fontId="146" fillId="27" borderId="114" xfId="0" applyFont="1" applyFill="1" applyBorder="1"/>
    <xf numFmtId="37" fontId="146" fillId="27" borderId="152" xfId="0" applyNumberFormat="1" applyFont="1" applyFill="1" applyBorder="1"/>
    <xf numFmtId="0" fontId="126" fillId="26" borderId="154" xfId="0" applyFont="1" applyFill="1" applyBorder="1" applyAlignment="1">
      <alignment horizontal="center"/>
    </xf>
    <xf numFmtId="170" fontId="126" fillId="26" borderId="144" xfId="0" applyNumberFormat="1" applyFont="1" applyFill="1" applyBorder="1"/>
    <xf numFmtId="37" fontId="126" fillId="26" borderId="155" xfId="0" applyNumberFormat="1" applyFont="1" applyFill="1" applyBorder="1"/>
    <xf numFmtId="39" fontId="113" fillId="25" borderId="0" xfId="0" applyNumberFormat="1" applyFont="1" applyFill="1"/>
    <xf numFmtId="0" fontId="126" fillId="26" borderId="158" xfId="0" applyFont="1" applyFill="1" applyBorder="1" applyAlignment="1">
      <alignment horizontal="center"/>
    </xf>
    <xf numFmtId="170" fontId="126" fillId="26" borderId="157" xfId="0" applyNumberFormat="1" applyFont="1" applyFill="1" applyBorder="1"/>
    <xf numFmtId="37" fontId="126" fillId="26" borderId="159" xfId="0" applyNumberFormat="1" applyFont="1" applyFill="1" applyBorder="1"/>
    <xf numFmtId="0" fontId="125" fillId="25" borderId="72" xfId="0" applyFont="1" applyFill="1" applyBorder="1"/>
    <xf numFmtId="0" fontId="125" fillId="25" borderId="0" xfId="0" applyFont="1" applyFill="1"/>
    <xf numFmtId="0" fontId="125" fillId="25" borderId="57" xfId="0" applyFont="1" applyFill="1" applyBorder="1"/>
    <xf numFmtId="0" fontId="121" fillId="25" borderId="72" xfId="0" applyFont="1" applyFill="1" applyBorder="1"/>
    <xf numFmtId="0" fontId="109" fillId="25" borderId="72" xfId="0" applyFont="1" applyFill="1" applyBorder="1"/>
    <xf numFmtId="0" fontId="110" fillId="25" borderId="72" xfId="0" applyFont="1" applyFill="1" applyBorder="1"/>
    <xf numFmtId="0" fontId="126" fillId="26" borderId="164" xfId="0" applyFont="1" applyFill="1" applyBorder="1" applyAlignment="1">
      <alignment horizontal="center"/>
    </xf>
    <xf numFmtId="170" fontId="126" fillId="26" borderId="163" xfId="0" applyNumberFormat="1" applyFont="1" applyFill="1" applyBorder="1"/>
    <xf numFmtId="37" fontId="126" fillId="26" borderId="165" xfId="0" applyNumberFormat="1" applyFont="1" applyFill="1" applyBorder="1"/>
    <xf numFmtId="0" fontId="148" fillId="0" borderId="1" xfId="22" applyFont="1"/>
    <xf numFmtId="0" fontId="55" fillId="0" borderId="1" xfId="22"/>
    <xf numFmtId="0" fontId="149" fillId="0" borderId="1" xfId="22" applyFont="1"/>
    <xf numFmtId="0" fontId="150" fillId="0" borderId="1" xfId="22" applyFont="1" applyAlignment="1">
      <alignment horizontal="center"/>
    </xf>
    <xf numFmtId="0" fontId="55" fillId="0" borderId="1" xfId="22" applyAlignment="1">
      <alignment horizontal="center"/>
    </xf>
    <xf numFmtId="0" fontId="137" fillId="0" borderId="1" xfId="22" applyFont="1" applyAlignment="1">
      <alignment horizontal="center"/>
    </xf>
    <xf numFmtId="0" fontId="137" fillId="18" borderId="200" xfId="22" applyFont="1" applyFill="1" applyBorder="1" applyAlignment="1">
      <alignment horizontal="center" vertical="center" wrapText="1"/>
    </xf>
    <xf numFmtId="0" fontId="137" fillId="18" borderId="201" xfId="22" applyFont="1" applyFill="1" applyBorder="1" applyAlignment="1">
      <alignment horizontal="center" vertical="center" wrapText="1"/>
    </xf>
    <xf numFmtId="0" fontId="137" fillId="18" borderId="202" xfId="22" applyFont="1" applyFill="1" applyBorder="1" applyAlignment="1">
      <alignment horizontal="center" vertical="center" wrapText="1"/>
    </xf>
    <xf numFmtId="0" fontId="137" fillId="18" borderId="199" xfId="22" applyFont="1" applyFill="1" applyBorder="1" applyAlignment="1">
      <alignment horizontal="center" vertical="center" wrapText="1"/>
    </xf>
    <xf numFmtId="0" fontId="137" fillId="0" borderId="1" xfId="22" applyFont="1"/>
    <xf numFmtId="166" fontId="138" fillId="11" borderId="204" xfId="22" applyNumberFormat="1" applyFont="1" applyFill="1" applyBorder="1" applyAlignment="1">
      <alignment horizontal="center" vertical="center"/>
    </xf>
    <xf numFmtId="166" fontId="138" fillId="11" borderId="206" xfId="22" applyNumberFormat="1" applyFont="1" applyFill="1" applyBorder="1" applyAlignment="1">
      <alignment horizontal="center" vertical="center"/>
    </xf>
    <xf numFmtId="0" fontId="138" fillId="11" borderId="205" xfId="22" applyFont="1" applyFill="1" applyBorder="1" applyAlignment="1">
      <alignment horizontal="center" vertical="center"/>
    </xf>
    <xf numFmtId="3" fontId="137" fillId="11" borderId="204" xfId="22" applyNumberFormat="1" applyFont="1" applyFill="1" applyBorder="1" applyAlignment="1">
      <alignment horizontal="center" vertical="center"/>
    </xf>
    <xf numFmtId="3" fontId="137" fillId="11" borderId="206" xfId="22" applyNumberFormat="1" applyFont="1" applyFill="1" applyBorder="1" applyAlignment="1">
      <alignment horizontal="center" vertical="center"/>
    </xf>
    <xf numFmtId="0" fontId="55" fillId="11" borderId="207" xfId="22" applyFill="1" applyBorder="1" applyAlignment="1">
      <alignment wrapText="1"/>
    </xf>
    <xf numFmtId="0" fontId="55" fillId="0" borderId="199" xfId="22" applyBorder="1" applyAlignment="1" applyProtection="1">
      <alignment horizontal="center" vertical="center" wrapText="1"/>
      <protection locked="0"/>
    </xf>
    <xf numFmtId="0" fontId="55" fillId="0" borderId="199" xfId="22" applyBorder="1" applyAlignment="1">
      <alignment horizontal="center" vertical="center"/>
    </xf>
    <xf numFmtId="0" fontId="55" fillId="0" borderId="167" xfId="22" applyBorder="1" applyAlignment="1" applyProtection="1">
      <alignment horizontal="center" vertical="center" wrapText="1"/>
      <protection locked="0"/>
    </xf>
    <xf numFmtId="37" fontId="55" fillId="0" borderId="1" xfId="22" applyNumberFormat="1" applyAlignment="1" applyProtection="1">
      <alignment horizontal="center" vertical="center"/>
      <protection locked="0"/>
    </xf>
    <xf numFmtId="37" fontId="55" fillId="0" borderId="208" xfId="22" applyNumberFormat="1" applyBorder="1" applyAlignment="1" applyProtection="1">
      <alignment horizontal="center" vertical="center"/>
      <protection locked="0"/>
    </xf>
    <xf numFmtId="0" fontId="55" fillId="0" borderId="209" xfId="22" applyBorder="1" applyAlignment="1" applyProtection="1">
      <alignment horizontal="center" vertical="center" wrapText="1"/>
      <protection locked="0"/>
    </xf>
    <xf numFmtId="0" fontId="55" fillId="0" borderId="209" xfId="22" applyBorder="1" applyAlignment="1">
      <alignment horizontal="center" vertical="center"/>
    </xf>
    <xf numFmtId="0" fontId="55" fillId="0" borderId="208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>
      <alignment horizontal="center" vertical="center"/>
    </xf>
    <xf numFmtId="0" fontId="55" fillId="0" borderId="210" xfId="22" applyBorder="1" applyAlignment="1" applyProtection="1">
      <alignment horizontal="center" vertical="center" wrapText="1"/>
      <protection locked="0"/>
    </xf>
    <xf numFmtId="0" fontId="55" fillId="0" borderId="211" xfId="22" applyBorder="1" applyAlignment="1" applyProtection="1">
      <alignment horizontal="center" vertical="center" wrapText="1"/>
      <protection locked="0"/>
    </xf>
    <xf numFmtId="37" fontId="55" fillId="0" borderId="210" xfId="22" applyNumberFormat="1" applyBorder="1" applyAlignment="1" applyProtection="1">
      <alignment horizontal="center" vertical="center"/>
      <protection locked="0"/>
    </xf>
    <xf numFmtId="37" fontId="55" fillId="0" borderId="212" xfId="22" applyNumberFormat="1" applyBorder="1" applyAlignment="1" applyProtection="1">
      <alignment horizontal="center" vertical="center"/>
      <protection locked="0"/>
    </xf>
    <xf numFmtId="0" fontId="55" fillId="0" borderId="1" xfId="22" applyAlignment="1">
      <alignment horizontal="center" wrapText="1"/>
    </xf>
    <xf numFmtId="0" fontId="55" fillId="0" borderId="1" xfId="22" applyAlignment="1">
      <alignment wrapText="1"/>
    </xf>
    <xf numFmtId="166" fontId="6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1" fillId="0" borderId="0" xfId="0" applyNumberFormat="1" applyFont="1" applyAlignment="1">
      <alignment horizontal="center"/>
    </xf>
    <xf numFmtId="176" fontId="91" fillId="0" borderId="0" xfId="0" applyNumberFormat="1" applyFont="1"/>
    <xf numFmtId="1" fontId="93" fillId="0" borderId="0" xfId="0" applyNumberFormat="1" applyFont="1"/>
    <xf numFmtId="10" fontId="93" fillId="0" borderId="0" xfId="0" applyNumberFormat="1" applyFont="1"/>
    <xf numFmtId="176" fontId="93" fillId="0" borderId="0" xfId="0" applyNumberFormat="1" applyFont="1"/>
    <xf numFmtId="0" fontId="53" fillId="0" borderId="209" xfId="22" applyFont="1" applyBorder="1" applyAlignment="1" applyProtection="1">
      <alignment horizontal="center" vertical="center" wrapText="1"/>
      <protection locked="0"/>
    </xf>
    <xf numFmtId="10" fontId="83" fillId="0" borderId="15" xfId="0" applyNumberFormat="1" applyFont="1" applyBorder="1"/>
    <xf numFmtId="2" fontId="144" fillId="0" borderId="1" xfId="20" applyNumberFormat="1" applyAlignment="1">
      <alignment horizontal="center" vertical="center"/>
    </xf>
    <xf numFmtId="0" fontId="104" fillId="24" borderId="0" xfId="0" applyFont="1" applyFill="1" applyAlignment="1">
      <alignment horizontal="left" vertical="top"/>
    </xf>
    <xf numFmtId="0" fontId="108" fillId="0" borderId="1" xfId="10"/>
    <xf numFmtId="0" fontId="108" fillId="0" borderId="1" xfId="10" applyAlignment="1">
      <alignment horizontal="center"/>
    </xf>
    <xf numFmtId="0" fontId="82" fillId="0" borderId="0" xfId="0" quotePrefix="1" applyFont="1"/>
    <xf numFmtId="10" fontId="92" fillId="0" borderId="0" xfId="0" applyNumberFormat="1" applyFont="1"/>
    <xf numFmtId="0" fontId="91" fillId="0" borderId="0" xfId="0" quotePrefix="1" applyFont="1"/>
    <xf numFmtId="0" fontId="83" fillId="3" borderId="216" xfId="0" applyFont="1" applyFill="1" applyBorder="1"/>
    <xf numFmtId="37" fontId="84" fillId="3" borderId="217" xfId="0" applyNumberFormat="1" applyFont="1" applyFill="1" applyBorder="1"/>
    <xf numFmtId="1" fontId="91" fillId="0" borderId="0" xfId="0" quotePrefix="1" applyNumberFormat="1" applyFont="1"/>
    <xf numFmtId="49" fontId="42" fillId="12" borderId="1" xfId="12" applyNumberFormat="1" applyFont="1" applyFill="1" applyAlignment="1">
      <alignment horizontal="left" vertical="center"/>
    </xf>
    <xf numFmtId="0" fontId="40" fillId="0" borderId="167" xfId="22" applyFont="1" applyBorder="1" applyAlignment="1" applyProtection="1">
      <alignment horizontal="center" vertical="center" wrapText="1"/>
      <protection locked="0"/>
    </xf>
    <xf numFmtId="9" fontId="137" fillId="23" borderId="218" xfId="4" applyFont="1" applyFill="1" applyBorder="1" applyAlignment="1">
      <alignment horizontal="center"/>
    </xf>
    <xf numFmtId="9" fontId="64" fillId="0" borderId="219" xfId="4" applyFont="1" applyFill="1" applyBorder="1" applyAlignment="1">
      <alignment horizontal="center"/>
    </xf>
    <xf numFmtId="9" fontId="64" fillId="23" borderId="219" xfId="4" applyFont="1" applyFill="1" applyBorder="1" applyAlignment="1">
      <alignment horizontal="center"/>
    </xf>
    <xf numFmtId="9" fontId="64" fillId="0" borderId="220" xfId="4" applyFont="1" applyFill="1" applyBorder="1" applyAlignment="1">
      <alignment horizontal="center"/>
    </xf>
    <xf numFmtId="9" fontId="64" fillId="0" borderId="219" xfId="4" applyFont="1" applyBorder="1" applyAlignment="1">
      <alignment horizontal="center"/>
    </xf>
    <xf numFmtId="9" fontId="64" fillId="0" borderId="221" xfId="4" applyFont="1" applyBorder="1" applyAlignment="1">
      <alignment horizontal="center"/>
    </xf>
    <xf numFmtId="0" fontId="137" fillId="17" borderId="173" xfId="3" applyFont="1" applyFill="1" applyBorder="1" applyAlignment="1">
      <alignment horizontal="center"/>
    </xf>
    <xf numFmtId="9" fontId="64" fillId="0" borderId="220" xfId="4" applyFont="1" applyBorder="1" applyAlignment="1">
      <alignment horizontal="center"/>
    </xf>
    <xf numFmtId="0" fontId="137" fillId="16" borderId="173" xfId="3" applyFont="1" applyFill="1" applyBorder="1" applyAlignment="1">
      <alignment horizontal="center"/>
    </xf>
    <xf numFmtId="9" fontId="137" fillId="23" borderId="219" xfId="4" applyFont="1" applyFill="1" applyBorder="1" applyAlignment="1">
      <alignment horizontal="center"/>
    </xf>
    <xf numFmtId="0" fontId="137" fillId="11" borderId="173" xfId="3" applyFont="1" applyFill="1" applyBorder="1" applyAlignment="1">
      <alignment horizontal="center"/>
    </xf>
    <xf numFmtId="9" fontId="64" fillId="0" borderId="221" xfId="4" applyFont="1" applyFill="1" applyBorder="1" applyAlignment="1">
      <alignment horizontal="center"/>
    </xf>
    <xf numFmtId="0" fontId="137" fillId="18" borderId="173" xfId="3" applyFont="1" applyFill="1" applyBorder="1" applyAlignment="1">
      <alignment horizontal="center"/>
    </xf>
    <xf numFmtId="0" fontId="137" fillId="21" borderId="173" xfId="3" applyFont="1" applyFill="1" applyBorder="1" applyAlignment="1">
      <alignment horizontal="center"/>
    </xf>
    <xf numFmtId="0" fontId="39" fillId="0" borderId="1" xfId="55"/>
    <xf numFmtId="2" fontId="153" fillId="0" borderId="1" xfId="55" applyNumberFormat="1" applyFont="1" applyAlignment="1">
      <alignment horizontal="center"/>
    </xf>
    <xf numFmtId="0" fontId="153" fillId="0" borderId="1" xfId="55" applyFont="1"/>
    <xf numFmtId="2" fontId="39" fillId="0" borderId="1" xfId="55" applyNumberFormat="1" applyAlignment="1">
      <alignment horizontal="center"/>
    </xf>
    <xf numFmtId="0" fontId="154" fillId="0" borderId="1" xfId="55" applyFont="1"/>
    <xf numFmtId="2" fontId="137" fillId="21" borderId="129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0" fontId="39" fillId="0" borderId="55" xfId="55" applyBorder="1"/>
    <xf numFmtId="0" fontId="39" fillId="0" borderId="172" xfId="55" applyBorder="1"/>
    <xf numFmtId="0" fontId="137" fillId="0" borderId="173" xfId="56" applyFont="1" applyBorder="1"/>
    <xf numFmtId="0" fontId="39" fillId="25" borderId="171" xfId="55" applyFill="1" applyBorder="1"/>
    <xf numFmtId="37" fontId="137" fillId="0" borderId="129" xfId="55" applyNumberFormat="1" applyFont="1" applyBorder="1" applyAlignment="1">
      <alignment horizontal="center"/>
    </xf>
    <xf numFmtId="37" fontId="137" fillId="0" borderId="170" xfId="55" applyNumberFormat="1" applyFont="1" applyBorder="1" applyAlignment="1">
      <alignment horizontal="center"/>
    </xf>
    <xf numFmtId="170" fontId="137" fillId="0" borderId="170" xfId="57" applyNumberFormat="1" applyFont="1" applyBorder="1" applyAlignment="1">
      <alignment horizontal="center"/>
    </xf>
    <xf numFmtId="0" fontId="152" fillId="0" borderId="1" xfId="55" applyFont="1"/>
    <xf numFmtId="0" fontId="39" fillId="0" borderId="173" xfId="55" applyBorder="1"/>
    <xf numFmtId="0" fontId="39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9" fillId="0" borderId="171" xfId="55" applyBorder="1" applyAlignment="1">
      <alignment horizontal="left"/>
    </xf>
    <xf numFmtId="37" fontId="39" fillId="0" borderId="214" xfId="55" applyNumberFormat="1" applyBorder="1" applyAlignment="1">
      <alignment horizontal="center"/>
    </xf>
    <xf numFmtId="37" fontId="39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7" fillId="0" borderId="171" xfId="55" applyFont="1" applyBorder="1"/>
    <xf numFmtId="37" fontId="137" fillId="0" borderId="214" xfId="58" applyNumberFormat="1" applyFont="1" applyBorder="1" applyAlignment="1">
      <alignment horizontal="center"/>
    </xf>
    <xf numFmtId="37" fontId="137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39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2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9" fillId="0" borderId="174" xfId="55" applyBorder="1" applyAlignment="1">
      <alignment horizontal="left"/>
    </xf>
    <xf numFmtId="0" fontId="39" fillId="0" borderId="214" xfId="55" applyBorder="1"/>
    <xf numFmtId="170" fontId="0" fillId="0" borderId="175" xfId="57" applyNumberFormat="1" applyFont="1" applyBorder="1" applyAlignment="1">
      <alignment horizontal="center"/>
    </xf>
    <xf numFmtId="2" fontId="39" fillId="0" borderId="175" xfId="55" applyNumberFormat="1" applyBorder="1" applyAlignment="1">
      <alignment horizontal="center"/>
    </xf>
    <xf numFmtId="0" fontId="39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7" fillId="0" borderId="215" xfId="58" applyNumberFormat="1" applyFont="1" applyBorder="1" applyAlignment="1">
      <alignment horizontal="center"/>
    </xf>
    <xf numFmtId="37" fontId="155" fillId="0" borderId="223" xfId="58" applyNumberFormat="1" applyFont="1" applyBorder="1" applyAlignment="1">
      <alignment horizontal="center"/>
    </xf>
    <xf numFmtId="0" fontId="137" fillId="0" borderId="174" xfId="55" applyFont="1" applyBorder="1"/>
    <xf numFmtId="37" fontId="137" fillId="0" borderId="175" xfId="58" applyNumberFormat="1" applyFont="1" applyBorder="1" applyAlignment="1">
      <alignment horizontal="center"/>
    </xf>
    <xf numFmtId="0" fontId="151" fillId="0" borderId="1" xfId="55" applyFont="1"/>
    <xf numFmtId="0" fontId="39" fillId="25" borderId="169" xfId="55" applyFill="1" applyBorder="1"/>
    <xf numFmtId="0" fontId="137" fillId="0" borderId="1" xfId="55" applyFont="1"/>
    <xf numFmtId="0" fontId="39" fillId="0" borderId="1" xfId="55" applyAlignment="1">
      <alignment horizontal="center"/>
    </xf>
    <xf numFmtId="2" fontId="151" fillId="0" borderId="1" xfId="55" applyNumberFormat="1" applyFont="1" applyAlignment="1">
      <alignment horizontal="center"/>
    </xf>
    <xf numFmtId="2" fontId="39" fillId="0" borderId="1" xfId="55" applyNumberFormat="1"/>
    <xf numFmtId="1" fontId="73" fillId="12" borderId="174" xfId="55" applyNumberFormat="1" applyFont="1" applyFill="1" applyBorder="1" applyAlignment="1">
      <alignment horizontal="left" vertical="top"/>
    </xf>
    <xf numFmtId="177" fontId="39" fillId="24" borderId="1" xfId="55" applyNumberFormat="1" applyFill="1" applyAlignment="1">
      <alignment horizontal="center"/>
    </xf>
    <xf numFmtId="0" fontId="137" fillId="0" borderId="1" xfId="55" applyFont="1" applyAlignment="1">
      <alignment horizontal="center" vertical="center"/>
    </xf>
    <xf numFmtId="0" fontId="137" fillId="0" borderId="173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wrapText="1"/>
    </xf>
    <xf numFmtId="0" fontId="39" fillId="0" borderId="1" xfId="55" applyAlignment="1">
      <alignment horizontal="center" vertical="center"/>
    </xf>
    <xf numFmtId="0" fontId="137" fillId="0" borderId="173" xfId="55" applyFont="1" applyBorder="1" applyAlignment="1">
      <alignment horizontal="center"/>
    </xf>
    <xf numFmtId="3" fontId="39" fillId="12" borderId="171" xfId="55" applyNumberFormat="1" applyFill="1" applyBorder="1" applyAlignment="1">
      <alignment horizontal="center"/>
    </xf>
    <xf numFmtId="2" fontId="137" fillId="0" borderId="171" xfId="55" applyNumberFormat="1" applyFont="1" applyBorder="1" applyAlignment="1">
      <alignment horizontal="center"/>
    </xf>
    <xf numFmtId="0" fontId="137" fillId="0" borderId="171" xfId="55" applyFont="1" applyBorder="1" applyAlignment="1">
      <alignment horizontal="center"/>
    </xf>
    <xf numFmtId="0" fontId="137" fillId="0" borderId="174" xfId="55" applyFont="1" applyBorder="1" applyAlignment="1">
      <alignment horizontal="center"/>
    </xf>
    <xf numFmtId="3" fontId="39" fillId="12" borderId="174" xfId="55" applyNumberFormat="1" applyFill="1" applyBorder="1" applyAlignment="1">
      <alignment horizontal="center"/>
    </xf>
    <xf numFmtId="10" fontId="91" fillId="0" borderId="0" xfId="0" quotePrefix="1" applyNumberFormat="1" applyFont="1"/>
    <xf numFmtId="37" fontId="60" fillId="22" borderId="214" xfId="3" applyNumberFormat="1" applyFont="1" applyFill="1" applyBorder="1" applyAlignment="1">
      <alignment horizontal="center"/>
    </xf>
    <xf numFmtId="0" fontId="34" fillId="0" borderId="1" xfId="62"/>
    <xf numFmtId="49" fontId="101" fillId="0" borderId="214" xfId="62" applyNumberFormat="1" applyFont="1" applyBorder="1" applyAlignment="1">
      <alignment horizontal="center" vertical="center"/>
    </xf>
    <xf numFmtId="49" fontId="101" fillId="0" borderId="1" xfId="62" applyNumberFormat="1" applyFont="1" applyAlignment="1">
      <alignment horizontal="center" vertical="center"/>
    </xf>
    <xf numFmtId="3" fontId="101" fillId="0" borderId="1" xfId="62" applyNumberFormat="1" applyFont="1" applyAlignment="1">
      <alignment horizontal="center" vertical="center"/>
    </xf>
    <xf numFmtId="49" fontId="101" fillId="0" borderId="172" xfId="62" applyNumberFormat="1" applyFont="1" applyBorder="1" applyAlignment="1">
      <alignment horizontal="center" vertical="center"/>
    </xf>
    <xf numFmtId="0" fontId="34" fillId="0" borderId="214" xfId="62" applyBorder="1" applyAlignment="1">
      <alignment horizontal="center"/>
    </xf>
    <xf numFmtId="0" fontId="34" fillId="0" borderId="1" xfId="62" applyAlignment="1">
      <alignment horizontal="center"/>
    </xf>
    <xf numFmtId="3" fontId="34" fillId="0" borderId="1" xfId="62" applyNumberFormat="1" applyAlignment="1">
      <alignment horizontal="center"/>
    </xf>
    <xf numFmtId="0" fontId="34" fillId="0" borderId="172" xfId="62" applyBorder="1" applyAlignment="1">
      <alignment horizontal="center"/>
    </xf>
    <xf numFmtId="0" fontId="31" fillId="0" borderId="1" xfId="62" applyFont="1" applyAlignment="1">
      <alignment horizontal="center"/>
    </xf>
    <xf numFmtId="0" fontId="30" fillId="0" borderId="1" xfId="62" applyFont="1" applyAlignment="1">
      <alignment horizontal="center"/>
    </xf>
    <xf numFmtId="0" fontId="30" fillId="0" borderId="172" xfId="62" applyFont="1" applyBorder="1" applyAlignment="1">
      <alignment horizontal="center"/>
    </xf>
    <xf numFmtId="0" fontId="137" fillId="19" borderId="173" xfId="3" applyFont="1" applyFill="1" applyBorder="1" applyAlignment="1">
      <alignment horizontal="center"/>
    </xf>
    <xf numFmtId="0" fontId="92" fillId="3" borderId="227" xfId="0" applyFont="1" applyFill="1" applyBorder="1"/>
    <xf numFmtId="0" fontId="92" fillId="3" borderId="228" xfId="0" applyFont="1" applyFill="1" applyBorder="1"/>
    <xf numFmtId="0" fontId="92" fillId="3" borderId="228" xfId="0" applyFont="1" applyFill="1" applyBorder="1" applyAlignment="1">
      <alignment horizontal="center"/>
    </xf>
    <xf numFmtId="170" fontId="92" fillId="3" borderId="228" xfId="0" applyNumberFormat="1" applyFont="1" applyFill="1" applyBorder="1"/>
    <xf numFmtId="37" fontId="92" fillId="3" borderId="229" xfId="0" applyNumberFormat="1" applyFont="1" applyFill="1" applyBorder="1"/>
    <xf numFmtId="37" fontId="92" fillId="3" borderId="228" xfId="0" applyNumberFormat="1" applyFont="1" applyFill="1" applyBorder="1"/>
    <xf numFmtId="37" fontId="92" fillId="3" borderId="230" xfId="0" applyNumberFormat="1" applyFont="1" applyFill="1" applyBorder="1"/>
    <xf numFmtId="37" fontId="92" fillId="3" borderId="232" xfId="0" applyNumberFormat="1" applyFont="1" applyFill="1" applyBorder="1"/>
    <xf numFmtId="170" fontId="92" fillId="3" borderId="233" xfId="0" applyNumberFormat="1" applyFont="1" applyFill="1" applyBorder="1"/>
    <xf numFmtId="10" fontId="82" fillId="0" borderId="0" xfId="0" applyNumberFormat="1" applyFont="1"/>
    <xf numFmtId="0" fontId="158" fillId="0" borderId="1" xfId="3" applyFont="1"/>
    <xf numFmtId="178" fontId="158" fillId="0" borderId="1" xfId="70" applyNumberFormat="1" applyFont="1" applyBorder="1"/>
    <xf numFmtId="0" fontId="159" fillId="0" borderId="1" xfId="3" applyFont="1"/>
    <xf numFmtId="0" fontId="158" fillId="0" borderId="1" xfId="3" applyFont="1" applyAlignment="1">
      <alignment horizontal="center"/>
    </xf>
    <xf numFmtId="0" fontId="24" fillId="0" borderId="214" xfId="62" applyFont="1" applyBorder="1" applyAlignment="1">
      <alignment horizontal="center"/>
    </xf>
    <xf numFmtId="0" fontId="24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18" fillId="0" borderId="1" xfId="62" applyFont="1" applyAlignment="1">
      <alignment horizontal="center"/>
    </xf>
    <xf numFmtId="0" fontId="49" fillId="0" borderId="208" xfId="22" applyFont="1" applyBorder="1" applyAlignment="1" applyProtection="1">
      <alignment horizontal="left" vertical="center" wrapText="1"/>
      <protection locked="0"/>
    </xf>
    <xf numFmtId="0" fontId="35" fillId="0" borderId="208" xfId="22" applyFont="1" applyBorder="1" applyAlignment="1" applyProtection="1">
      <alignment horizontal="left" vertical="center" wrapText="1"/>
      <protection locked="0"/>
    </xf>
    <xf numFmtId="0" fontId="18" fillId="0" borderId="208" xfId="22" applyFont="1" applyBorder="1" applyAlignment="1" applyProtection="1">
      <alignment horizontal="left" vertical="center" wrapText="1"/>
      <protection locked="0"/>
    </xf>
    <xf numFmtId="37" fontId="91" fillId="23" borderId="0" xfId="0" applyNumberFormat="1" applyFont="1" applyFill="1"/>
    <xf numFmtId="1" fontId="83" fillId="0" borderId="1" xfId="0" applyNumberFormat="1" applyFont="1" applyBorder="1"/>
    <xf numFmtId="1" fontId="83" fillId="0" borderId="22" xfId="0" applyNumberFormat="1" applyFont="1" applyBorder="1"/>
    <xf numFmtId="1" fontId="83" fillId="0" borderId="24" xfId="0" applyNumberFormat="1" applyFont="1" applyBorder="1"/>
    <xf numFmtId="0" fontId="108" fillId="0" borderId="202" xfId="10" applyBorder="1"/>
    <xf numFmtId="0" fontId="108" fillId="0" borderId="208" xfId="10" applyBorder="1"/>
    <xf numFmtId="178" fontId="108" fillId="0" borderId="202" xfId="10" applyNumberFormat="1" applyBorder="1" applyAlignment="1">
      <alignment horizontal="right"/>
    </xf>
    <xf numFmtId="178" fontId="108" fillId="0" borderId="200" xfId="10" applyNumberFormat="1" applyBorder="1" applyAlignment="1">
      <alignment horizontal="right"/>
    </xf>
    <xf numFmtId="178" fontId="108" fillId="0" borderId="208" xfId="10" applyNumberFormat="1" applyBorder="1" applyAlignment="1">
      <alignment horizontal="right"/>
    </xf>
    <xf numFmtId="178" fontId="108" fillId="0" borderId="1" xfId="10" applyNumberFormat="1" applyAlignment="1">
      <alignment horizontal="right"/>
    </xf>
    <xf numFmtId="0" fontId="136" fillId="0" borderId="234" xfId="10" applyFont="1" applyBorder="1"/>
    <xf numFmtId="178" fontId="136" fillId="0" borderId="234" xfId="10" applyNumberFormat="1" applyFont="1" applyBorder="1" applyAlignment="1">
      <alignment horizontal="right"/>
    </xf>
    <xf numFmtId="178" fontId="136" fillId="0" borderId="235" xfId="10" applyNumberFormat="1" applyFont="1" applyBorder="1" applyAlignment="1">
      <alignment horizontal="right"/>
    </xf>
    <xf numFmtId="0" fontId="108" fillId="0" borderId="239" xfId="10" applyBorder="1"/>
    <xf numFmtId="178" fontId="108" fillId="0" borderId="239" xfId="10" applyNumberFormat="1" applyBorder="1" applyAlignment="1">
      <alignment horizontal="right"/>
    </xf>
    <xf numFmtId="178" fontId="108" fillId="0" borderId="240" xfId="10" applyNumberFormat="1" applyBorder="1" applyAlignment="1">
      <alignment horizontal="right"/>
    </xf>
    <xf numFmtId="37" fontId="82" fillId="0" borderId="0" xfId="0" applyNumberFormat="1" applyFont="1"/>
    <xf numFmtId="0" fontId="108" fillId="0" borderId="1" xfId="10" applyAlignment="1">
      <alignment vertical="center" wrapText="1"/>
    </xf>
    <xf numFmtId="0" fontId="136" fillId="0" borderId="202" xfId="10" applyFont="1" applyBorder="1" applyAlignment="1">
      <alignment horizontal="center" vertical="center" wrapText="1"/>
    </xf>
    <xf numFmtId="0" fontId="136" fillId="0" borderId="200" xfId="10" applyFont="1" applyBorder="1" applyAlignment="1">
      <alignment horizontal="center" vertical="center" wrapText="1"/>
    </xf>
    <xf numFmtId="37" fontId="91" fillId="29" borderId="0" xfId="0" applyNumberFormat="1" applyFont="1" applyFill="1"/>
    <xf numFmtId="0" fontId="14" fillId="0" borderId="208" xfId="22" applyFont="1" applyBorder="1" applyAlignment="1" applyProtection="1">
      <alignment horizontal="left" vertical="center" wrapText="1"/>
      <protection locked="0"/>
    </xf>
    <xf numFmtId="0" fontId="108" fillId="0" borderId="202" xfId="10" applyBorder="1" applyAlignment="1">
      <alignment vertical="center" wrapText="1"/>
    </xf>
    <xf numFmtId="0" fontId="108" fillId="0" borderId="210" xfId="10" applyBorder="1" applyAlignment="1">
      <alignment vertical="center" wrapText="1"/>
    </xf>
    <xf numFmtId="37" fontId="108" fillId="0" borderId="199" xfId="10" applyNumberFormat="1" applyBorder="1" applyAlignment="1">
      <alignment horizontal="center" vertical="center" wrapText="1"/>
    </xf>
    <xf numFmtId="0" fontId="108" fillId="0" borderId="202" xfId="10" applyBorder="1" applyAlignment="1">
      <alignment horizontal="center" vertical="center" wrapText="1"/>
    </xf>
    <xf numFmtId="37" fontId="108" fillId="0" borderId="202" xfId="10" applyNumberFormat="1" applyBorder="1" applyAlignment="1">
      <alignment horizontal="center" vertical="center" wrapText="1"/>
    </xf>
    <xf numFmtId="37" fontId="108" fillId="0" borderId="200" xfId="10" applyNumberFormat="1" applyBorder="1" applyAlignment="1">
      <alignment horizontal="center" vertical="center" wrapText="1"/>
    </xf>
    <xf numFmtId="3" fontId="108" fillId="0" borderId="203" xfId="10" applyNumberFormat="1" applyBorder="1" applyAlignment="1">
      <alignment horizontal="center" vertical="center" wrapText="1"/>
    </xf>
    <xf numFmtId="0" fontId="108" fillId="0" borderId="210" xfId="10" applyBorder="1" applyAlignment="1">
      <alignment horizontal="center" vertical="center" wrapText="1"/>
    </xf>
    <xf numFmtId="3" fontId="108" fillId="0" borderId="210" xfId="10" applyNumberFormat="1" applyBorder="1" applyAlignment="1">
      <alignment horizontal="center" vertical="center" wrapText="1"/>
    </xf>
    <xf numFmtId="3" fontId="108" fillId="0" borderId="212" xfId="10" applyNumberFormat="1" applyBorder="1" applyAlignment="1">
      <alignment horizontal="center" vertical="center" wrapText="1"/>
    </xf>
    <xf numFmtId="0" fontId="91" fillId="25" borderId="0" xfId="0" applyFont="1" applyFill="1"/>
    <xf numFmtId="0" fontId="136" fillId="31" borderId="236" xfId="10" applyFont="1" applyFill="1" applyBorder="1" applyAlignment="1">
      <alignment horizontal="center" vertical="center" wrapText="1"/>
    </xf>
    <xf numFmtId="37" fontId="108" fillId="31" borderId="236" xfId="10" applyNumberFormat="1" applyFill="1" applyBorder="1" applyAlignment="1">
      <alignment horizontal="center" vertical="center" wrapText="1"/>
    </xf>
    <xf numFmtId="37" fontId="108" fillId="31" borderId="242" xfId="10" applyNumberFormat="1" applyFill="1" applyBorder="1" applyAlignment="1">
      <alignment horizontal="center" vertical="center" wrapText="1"/>
    </xf>
    <xf numFmtId="178" fontId="108" fillId="31" borderId="237" xfId="10" applyNumberFormat="1" applyFill="1" applyBorder="1" applyAlignment="1">
      <alignment horizontal="right"/>
    </xf>
    <xf numFmtId="178" fontId="108" fillId="31" borderId="241" xfId="10" applyNumberFormat="1" applyFill="1" applyBorder="1" applyAlignment="1">
      <alignment horizontal="right"/>
    </xf>
    <xf numFmtId="178" fontId="108" fillId="31" borderId="236" xfId="10" applyNumberFormat="1" applyFill="1" applyBorder="1" applyAlignment="1">
      <alignment horizontal="right"/>
    </xf>
    <xf numFmtId="178" fontId="136" fillId="31" borderId="238" xfId="10" applyNumberFormat="1" applyFont="1" applyFill="1" applyBorder="1" applyAlignment="1">
      <alignment horizontal="right"/>
    </xf>
    <xf numFmtId="3" fontId="83" fillId="0" borderId="0" xfId="0" applyNumberFormat="1" applyFont="1"/>
    <xf numFmtId="0" fontId="82" fillId="31" borderId="0" xfId="0" applyFont="1" applyFill="1"/>
    <xf numFmtId="0" fontId="83" fillId="31" borderId="0" xfId="0" applyFont="1" applyFill="1"/>
    <xf numFmtId="0" fontId="91" fillId="31" borderId="0" xfId="0" applyFont="1" applyFill="1"/>
    <xf numFmtId="0" fontId="10" fillId="0" borderId="1" xfId="62" applyFont="1" applyAlignment="1">
      <alignment horizontal="center"/>
    </xf>
    <xf numFmtId="0" fontId="10" fillId="0" borderId="172" xfId="62" applyFont="1" applyBorder="1" applyAlignment="1">
      <alignment horizontal="center"/>
    </xf>
    <xf numFmtId="170" fontId="92" fillId="3" borderId="229" xfId="0" applyNumberFormat="1" applyFont="1" applyFill="1" applyBorder="1"/>
    <xf numFmtId="170" fontId="137" fillId="0" borderId="226" xfId="57" applyNumberFormat="1" applyFont="1" applyBorder="1" applyAlignment="1">
      <alignment horizontal="center"/>
    </xf>
    <xf numFmtId="37" fontId="137" fillId="0" borderId="224" xfId="55" applyNumberFormat="1" applyFont="1" applyBorder="1" applyAlignment="1">
      <alignment horizontal="center"/>
    </xf>
    <xf numFmtId="0" fontId="9" fillId="0" borderId="208" xfId="22" applyFont="1" applyBorder="1" applyAlignment="1" applyProtection="1">
      <alignment horizontal="left" vertical="center" wrapText="1"/>
      <protection locked="0"/>
    </xf>
    <xf numFmtId="170" fontId="83" fillId="0" borderId="12" xfId="16" applyNumberFormat="1" applyFont="1" applyFill="1" applyBorder="1"/>
    <xf numFmtId="170" fontId="83" fillId="0" borderId="1" xfId="16" applyNumberFormat="1" applyFont="1" applyFill="1" applyBorder="1"/>
    <xf numFmtId="170" fontId="83" fillId="0" borderId="15" xfId="16" applyNumberFormat="1" applyFont="1" applyFill="1" applyBorder="1"/>
    <xf numFmtId="0" fontId="105" fillId="0" borderId="0" xfId="0" applyFont="1" applyAlignment="1">
      <alignment horizontal="left" vertical="top"/>
    </xf>
    <xf numFmtId="0" fontId="105" fillId="0" borderId="49" xfId="0" quotePrefix="1" applyFont="1" applyBorder="1" applyAlignment="1">
      <alignment horizontal="left" vertical="top"/>
    </xf>
    <xf numFmtId="1" fontId="105" fillId="0" borderId="0" xfId="0" applyNumberFormat="1" applyFont="1" applyAlignment="1">
      <alignment horizontal="left" vertical="top"/>
    </xf>
    <xf numFmtId="0" fontId="107" fillId="8" borderId="48" xfId="0" applyFont="1" applyFill="1" applyBorder="1" applyAlignment="1">
      <alignment horizontal="left" vertical="top"/>
    </xf>
    <xf numFmtId="1" fontId="105" fillId="10" borderId="0" xfId="0" applyNumberFormat="1" applyFont="1" applyFill="1" applyAlignment="1">
      <alignment horizontal="left" vertical="top"/>
    </xf>
    <xf numFmtId="49" fontId="104" fillId="0" borderId="0" xfId="0" applyNumberFormat="1" applyFont="1" applyAlignment="1">
      <alignment horizontal="left" vertical="top"/>
    </xf>
    <xf numFmtId="49" fontId="105" fillId="0" borderId="0" xfId="0" applyNumberFormat="1" applyFont="1" applyAlignment="1">
      <alignment horizontal="left" vertical="top"/>
    </xf>
    <xf numFmtId="0" fontId="105" fillId="5" borderId="48" xfId="0" applyFont="1" applyFill="1" applyBorder="1" applyAlignment="1">
      <alignment horizontal="left" vertical="top"/>
    </xf>
    <xf numFmtId="1" fontId="105" fillId="13" borderId="48" xfId="0" applyNumberFormat="1" applyFont="1" applyFill="1" applyBorder="1" applyAlignment="1">
      <alignment horizontal="left" vertical="top"/>
    </xf>
    <xf numFmtId="39" fontId="104" fillId="0" borderId="0" xfId="0" applyNumberFormat="1" applyFont="1" applyAlignment="1">
      <alignment horizontal="left" vertical="top"/>
    </xf>
    <xf numFmtId="0" fontId="105" fillId="10" borderId="0" xfId="0" applyFont="1" applyFill="1" applyAlignment="1">
      <alignment horizontal="left" vertical="top"/>
    </xf>
    <xf numFmtId="49" fontId="105" fillId="0" borderId="44" xfId="0" applyNumberFormat="1" applyFont="1" applyBorder="1" applyAlignment="1">
      <alignment horizontal="left" vertical="top"/>
    </xf>
    <xf numFmtId="0" fontId="104" fillId="8" borderId="48" xfId="0" applyFont="1" applyFill="1" applyBorder="1" applyAlignment="1">
      <alignment horizontal="left" vertical="top"/>
    </xf>
    <xf numFmtId="49" fontId="104" fillId="10" borderId="0" xfId="0" applyNumberFormat="1" applyFont="1" applyFill="1" applyAlignment="1">
      <alignment horizontal="left" vertical="top"/>
    </xf>
    <xf numFmtId="0" fontId="104" fillId="0" borderId="1" xfId="0" applyFont="1" applyBorder="1" applyAlignment="1">
      <alignment horizontal="left" vertical="top"/>
    </xf>
    <xf numFmtId="0" fontId="104" fillId="5" borderId="48" xfId="0" applyFont="1" applyFill="1" applyBorder="1" applyAlignment="1">
      <alignment horizontal="left" vertical="top"/>
    </xf>
    <xf numFmtId="39" fontId="104" fillId="0" borderId="45" xfId="0" applyNumberFormat="1" applyFont="1" applyBorder="1" applyAlignment="1">
      <alignment horizontal="left" vertical="top"/>
    </xf>
    <xf numFmtId="39" fontId="104" fillId="10" borderId="0" xfId="0" applyNumberFormat="1" applyFont="1" applyFill="1" applyAlignment="1">
      <alignment horizontal="left" vertical="top"/>
    </xf>
    <xf numFmtId="0" fontId="104" fillId="5" borderId="0" xfId="0" applyFont="1" applyFill="1" applyAlignment="1">
      <alignment horizontal="left" vertical="top"/>
    </xf>
    <xf numFmtId="1" fontId="105" fillId="10" borderId="1" xfId="0" applyNumberFormat="1" applyFont="1" applyFill="1" applyBorder="1" applyAlignment="1">
      <alignment horizontal="left" vertical="top"/>
    </xf>
    <xf numFmtId="0" fontId="105" fillId="10" borderId="49" xfId="0" quotePrefix="1" applyFont="1" applyFill="1" applyBorder="1" applyAlignment="1">
      <alignment horizontal="left" vertical="top"/>
    </xf>
    <xf numFmtId="49" fontId="105" fillId="0" borderId="46" xfId="0" applyNumberFormat="1" applyFont="1" applyBorder="1" applyAlignment="1">
      <alignment horizontal="left" vertical="top"/>
    </xf>
    <xf numFmtId="0" fontId="105" fillId="10" borderId="44" xfId="0" quotePrefix="1" applyFont="1" applyFill="1" applyBorder="1" applyAlignment="1">
      <alignment horizontal="left" vertical="top"/>
    </xf>
    <xf numFmtId="49" fontId="104" fillId="10" borderId="1" xfId="0" applyNumberFormat="1" applyFont="1" applyFill="1" applyBorder="1" applyAlignment="1">
      <alignment horizontal="left" vertical="top"/>
    </xf>
    <xf numFmtId="49" fontId="73" fillId="0" borderId="45" xfId="0" applyNumberFormat="1" applyFont="1" applyBorder="1" applyAlignment="1">
      <alignment horizontal="left" vertical="top"/>
    </xf>
    <xf numFmtId="0" fontId="104" fillId="0" borderId="47" xfId="0" applyFont="1" applyBorder="1" applyAlignment="1">
      <alignment horizontal="left" vertical="top"/>
    </xf>
    <xf numFmtId="39" fontId="104" fillId="0" borderId="50" xfId="0" applyNumberFormat="1" applyFont="1" applyBorder="1" applyAlignment="1">
      <alignment horizontal="left" vertical="top"/>
    </xf>
    <xf numFmtId="49" fontId="73" fillId="0" borderId="44" xfId="0" applyNumberFormat="1" applyFont="1" applyBorder="1" applyAlignment="1">
      <alignment horizontal="left" vertical="top"/>
    </xf>
    <xf numFmtId="0" fontId="104" fillId="10" borderId="1" xfId="0" applyFont="1" applyFill="1" applyBorder="1" applyAlignment="1">
      <alignment horizontal="left" vertical="top"/>
    </xf>
    <xf numFmtId="49" fontId="7" fillId="12" borderId="1" xfId="12" applyNumberFormat="1" applyFont="1" applyFill="1" applyAlignment="1">
      <alignment horizontal="left" vertical="center"/>
    </xf>
    <xf numFmtId="0" fontId="6" fillId="0" borderId="208" xfId="22" applyFont="1" applyBorder="1" applyAlignment="1" applyProtection="1">
      <alignment horizontal="left" vertical="center" wrapText="1"/>
      <protection locked="0"/>
    </xf>
    <xf numFmtId="3" fontId="83" fillId="0" borderId="0" xfId="0" applyNumberFormat="1" applyFont="1" applyAlignment="1">
      <alignment horizontal="center"/>
    </xf>
    <xf numFmtId="3" fontId="84" fillId="0" borderId="22" xfId="0" applyNumberFormat="1" applyFont="1" applyBorder="1"/>
    <xf numFmtId="0" fontId="83" fillId="4" borderId="0" xfId="0" applyFont="1" applyFill="1"/>
    <xf numFmtId="0" fontId="84" fillId="4" borderId="0" xfId="0" applyFont="1" applyFill="1"/>
    <xf numFmtId="171" fontId="83" fillId="0" borderId="0" xfId="0" applyNumberFormat="1" applyFont="1"/>
    <xf numFmtId="2" fontId="83" fillId="0" borderId="0" xfId="0" applyNumberFormat="1" applyFont="1"/>
    <xf numFmtId="172" fontId="83" fillId="0" borderId="0" xfId="0" applyNumberFormat="1" applyFont="1"/>
    <xf numFmtId="171" fontId="84" fillId="0" borderId="0" xfId="0" applyNumberFormat="1" applyFont="1"/>
    <xf numFmtId="37" fontId="83" fillId="11" borderId="0" xfId="0" applyNumberFormat="1" applyFont="1" applyFill="1"/>
    <xf numFmtId="170" fontId="84" fillId="3" borderId="0" xfId="0" applyNumberFormat="1" applyFont="1" applyFill="1"/>
    <xf numFmtId="37" fontId="110" fillId="0" borderId="0" xfId="0" applyNumberFormat="1" applyFont="1"/>
    <xf numFmtId="0" fontId="92" fillId="0" borderId="0" xfId="0" applyFont="1" applyAlignment="1">
      <alignment horizontal="center" vertical="center"/>
    </xf>
    <xf numFmtId="0" fontId="81" fillId="0" borderId="0" xfId="0" applyFont="1" applyAlignment="1">
      <alignment horizontal="center"/>
    </xf>
    <xf numFmtId="0" fontId="86" fillId="0" borderId="0" xfId="0" applyFont="1"/>
    <xf numFmtId="37" fontId="86" fillId="0" borderId="0" xfId="0" applyNumberFormat="1" applyFont="1"/>
    <xf numFmtId="170" fontId="86" fillId="0" borderId="0" xfId="0" applyNumberFormat="1" applyFont="1"/>
    <xf numFmtId="0" fontId="86" fillId="0" borderId="0" xfId="0" applyFont="1" applyAlignment="1">
      <alignment horizontal="right"/>
    </xf>
    <xf numFmtId="171" fontId="86" fillId="0" borderId="0" xfId="0" applyNumberFormat="1" applyFont="1"/>
    <xf numFmtId="170" fontId="92" fillId="0" borderId="0" xfId="0" applyNumberFormat="1" applyFont="1"/>
    <xf numFmtId="0" fontId="92" fillId="0" borderId="0" xfId="0" applyFont="1"/>
    <xf numFmtId="0" fontId="91" fillId="4" borderId="0" xfId="0" applyFont="1" applyFill="1"/>
    <xf numFmtId="37" fontId="92" fillId="0" borderId="0" xfId="0" applyNumberFormat="1" applyFont="1"/>
    <xf numFmtId="37" fontId="86" fillId="4" borderId="0" xfId="0" applyNumberFormat="1" applyFont="1" applyFill="1"/>
    <xf numFmtId="170" fontId="86" fillId="4" borderId="0" xfId="0" applyNumberFormat="1" applyFont="1" applyFill="1"/>
    <xf numFmtId="170" fontId="92" fillId="3" borderId="231" xfId="0" applyNumberFormat="1" applyFont="1" applyFill="1" applyBorder="1"/>
    <xf numFmtId="0" fontId="93" fillId="4" borderId="0" xfId="0" applyFont="1" applyFill="1"/>
    <xf numFmtId="37" fontId="91" fillId="4" borderId="0" xfId="0" applyNumberFormat="1" applyFont="1" applyFill="1"/>
    <xf numFmtId="0" fontId="95" fillId="4" borderId="0" xfId="0" applyFont="1" applyFill="1"/>
    <xf numFmtId="37" fontId="93" fillId="4" borderId="0" xfId="0" applyNumberFormat="1" applyFont="1" applyFill="1"/>
    <xf numFmtId="0" fontId="96" fillId="4" borderId="0" xfId="0" applyFont="1" applyFill="1" applyAlignment="1">
      <alignment horizontal="center" vertical="center"/>
    </xf>
    <xf numFmtId="0" fontId="91" fillId="4" borderId="0" xfId="0" applyFont="1" applyFill="1" applyAlignment="1">
      <alignment horizontal="center" vertical="center"/>
    </xf>
    <xf numFmtId="169" fontId="97" fillId="4" borderId="0" xfId="0" applyNumberFormat="1" applyFont="1" applyFill="1" applyAlignment="1">
      <alignment horizontal="right"/>
    </xf>
    <xf numFmtId="0" fontId="93" fillId="4" borderId="0" xfId="0" applyFont="1" applyFill="1" applyAlignment="1">
      <alignment horizontal="center"/>
    </xf>
    <xf numFmtId="0" fontId="91" fillId="4" borderId="0" xfId="0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7" fillId="4" borderId="0" xfId="0" applyFont="1" applyFill="1"/>
    <xf numFmtId="170" fontId="91" fillId="4" borderId="0" xfId="0" applyNumberFormat="1" applyFont="1" applyFill="1"/>
    <xf numFmtId="9" fontId="91" fillId="4" borderId="0" xfId="0" applyNumberFormat="1" applyFont="1" applyFill="1"/>
    <xf numFmtId="170" fontId="93" fillId="4" borderId="0" xfId="0" applyNumberFormat="1" applyFont="1" applyFill="1"/>
    <xf numFmtId="0" fontId="98" fillId="4" borderId="0" xfId="0" applyFont="1" applyFill="1"/>
    <xf numFmtId="0" fontId="96" fillId="4" borderId="0" xfId="0" applyFont="1" applyFill="1" applyAlignment="1">
      <alignment horizontal="center"/>
    </xf>
    <xf numFmtId="169" fontId="91" fillId="4" borderId="0" xfId="0" applyNumberFormat="1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7" fillId="4" borderId="0" xfId="0" applyFont="1" applyFill="1" applyAlignment="1">
      <alignment horizontal="left"/>
    </xf>
    <xf numFmtId="0" fontId="100" fillId="4" borderId="0" xfId="0" applyFont="1" applyFill="1"/>
    <xf numFmtId="37" fontId="109" fillId="0" borderId="105" xfId="0" applyNumberFormat="1" applyFont="1" applyBorder="1"/>
    <xf numFmtId="165" fontId="77" fillId="0" borderId="3" xfId="0" applyNumberFormat="1" applyFont="1" applyBorder="1"/>
    <xf numFmtId="165" fontId="77" fillId="0" borderId="53" xfId="0" applyNumberFormat="1" applyFont="1" applyBorder="1"/>
    <xf numFmtId="39" fontId="86" fillId="0" borderId="1" xfId="0" applyNumberFormat="1" applyFont="1" applyBorder="1"/>
    <xf numFmtId="165" fontId="77" fillId="23" borderId="7" xfId="0" applyNumberFormat="1" applyFont="1" applyFill="1" applyBorder="1"/>
    <xf numFmtId="165" fontId="73" fillId="0" borderId="0" xfId="0" applyNumberFormat="1" applyFont="1"/>
    <xf numFmtId="0" fontId="136" fillId="0" borderId="199" xfId="10" applyFont="1" applyBorder="1" applyAlignment="1">
      <alignment horizontal="center" vertical="center" wrapText="1"/>
    </xf>
    <xf numFmtId="178" fontId="108" fillId="0" borderId="209" xfId="10" applyNumberFormat="1" applyBorder="1" applyAlignment="1">
      <alignment horizontal="right"/>
    </xf>
    <xf numFmtId="178" fontId="108" fillId="0" borderId="243" xfId="10" applyNumberFormat="1" applyBorder="1" applyAlignment="1">
      <alignment horizontal="right"/>
    </xf>
    <xf numFmtId="178" fontId="136" fillId="0" borderId="244" xfId="10" applyNumberFormat="1" applyFont="1" applyBorder="1" applyAlignment="1">
      <alignment horizontal="right"/>
    </xf>
    <xf numFmtId="0" fontId="119" fillId="0" borderId="55" xfId="2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18" borderId="199" xfId="22" applyFont="1" applyFill="1" applyBorder="1" applyAlignment="1">
      <alignment horizontal="center" vertical="center" wrapText="1"/>
    </xf>
    <xf numFmtId="0" fontId="137" fillId="18" borderId="203" xfId="22" applyFont="1" applyFill="1" applyBorder="1" applyAlignment="1">
      <alignment horizontal="center" vertical="center" wrapText="1"/>
    </xf>
    <xf numFmtId="0" fontId="138" fillId="11" borderId="204" xfId="22" applyFont="1" applyFill="1" applyBorder="1" applyAlignment="1">
      <alignment horizontal="center" vertical="center" wrapText="1"/>
    </xf>
    <xf numFmtId="0" fontId="138" fillId="11" borderId="205" xfId="22" applyFont="1" applyFill="1" applyBorder="1" applyAlignment="1">
      <alignment horizontal="center" vertical="center" wrapText="1"/>
    </xf>
    <xf numFmtId="0" fontId="153" fillId="0" borderId="224" xfId="62" applyFont="1" applyBorder="1" applyAlignment="1">
      <alignment horizontal="center" wrapText="1"/>
    </xf>
    <xf numFmtId="0" fontId="153" fillId="0" borderId="225" xfId="62" applyFont="1" applyBorder="1" applyAlignment="1">
      <alignment horizontal="center" wrapText="1"/>
    </xf>
    <xf numFmtId="0" fontId="153" fillId="0" borderId="226" xfId="62" applyFont="1" applyBorder="1" applyAlignment="1">
      <alignment horizontal="center" wrapText="1"/>
    </xf>
    <xf numFmtId="0" fontId="137" fillId="0" borderId="129" xfId="55" applyFont="1" applyBorder="1" applyAlignment="1">
      <alignment horizontal="center"/>
    </xf>
    <xf numFmtId="0" fontId="137" fillId="0" borderId="170" xfId="55" applyFont="1" applyBorder="1" applyAlignment="1">
      <alignment horizontal="center"/>
    </xf>
    <xf numFmtId="0" fontId="153" fillId="0" borderId="1" xfId="55" applyFont="1" applyAlignment="1">
      <alignment horizontal="left" vertical="center"/>
    </xf>
    <xf numFmtId="2" fontId="137" fillId="21" borderId="129" xfId="55" applyNumberFormat="1" applyFont="1" applyFill="1" applyBorder="1" applyAlignment="1">
      <alignment horizontal="center"/>
    </xf>
    <xf numFmtId="2" fontId="137" fillId="21" borderId="131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2" fontId="137" fillId="21" borderId="129" xfId="55" applyNumberFormat="1" applyFont="1" applyFill="1" applyBorder="1" applyAlignment="1">
      <alignment horizontal="center" wrapText="1"/>
    </xf>
    <xf numFmtId="2" fontId="137" fillId="21" borderId="131" xfId="55" applyNumberFormat="1" applyFont="1" applyFill="1" applyBorder="1" applyAlignment="1">
      <alignment horizontal="center" wrapText="1"/>
    </xf>
    <xf numFmtId="2" fontId="137" fillId="21" borderId="170" xfId="55" applyNumberFormat="1" applyFont="1" applyFill="1" applyBorder="1" applyAlignment="1">
      <alignment horizontal="center" wrapText="1"/>
    </xf>
    <xf numFmtId="0" fontId="137" fillId="0" borderId="1" xfId="55" applyFont="1" applyAlignment="1">
      <alignment horizontal="center"/>
    </xf>
    <xf numFmtId="0" fontId="84" fillId="0" borderId="92" xfId="0" applyFont="1" applyBorder="1" applyAlignment="1">
      <alignment horizontal="center" vertical="center"/>
    </xf>
    <xf numFmtId="0" fontId="85" fillId="0" borderId="90" xfId="0" applyFont="1" applyBorder="1"/>
    <xf numFmtId="0" fontId="85" fillId="0" borderId="93" xfId="0" applyFont="1" applyBorder="1"/>
    <xf numFmtId="0" fontId="84" fillId="0" borderId="68" xfId="0" applyFont="1" applyBorder="1" applyAlignment="1">
      <alignment horizontal="center"/>
    </xf>
    <xf numFmtId="0" fontId="85" fillId="0" borderId="68" xfId="0" applyFont="1" applyBorder="1"/>
    <xf numFmtId="0" fontId="85" fillId="0" borderId="69" xfId="0" applyFont="1" applyBorder="1"/>
    <xf numFmtId="0" fontId="84" fillId="0" borderId="71" xfId="0" applyFont="1" applyBorder="1" applyAlignment="1">
      <alignment horizontal="center"/>
    </xf>
    <xf numFmtId="0" fontId="84" fillId="0" borderId="26" xfId="0" applyFont="1" applyBorder="1" applyAlignment="1">
      <alignment horizontal="center"/>
    </xf>
    <xf numFmtId="0" fontId="85" fillId="0" borderId="27" xfId="0" applyFont="1" applyBorder="1"/>
    <xf numFmtId="0" fontId="85" fillId="0" borderId="64" xfId="0" applyFont="1" applyBorder="1"/>
    <xf numFmtId="0" fontId="84" fillId="0" borderId="90" xfId="0" applyFont="1" applyBorder="1" applyAlignment="1">
      <alignment horizontal="center" vertical="center"/>
    </xf>
    <xf numFmtId="0" fontId="85" fillId="0" borderId="91" xfId="0" applyFont="1" applyBorder="1"/>
    <xf numFmtId="0" fontId="73" fillId="28" borderId="173" xfId="0" applyFont="1" applyFill="1" applyBorder="1" applyAlignment="1">
      <alignment vertical="center" wrapText="1"/>
    </xf>
    <xf numFmtId="0" fontId="73" fillId="28" borderId="171" xfId="0" applyFont="1" applyFill="1" applyBorder="1" applyAlignment="1">
      <alignment vertical="center" wrapText="1"/>
    </xf>
    <xf numFmtId="0" fontId="73" fillId="28" borderId="174" xfId="0" applyFont="1" applyFill="1" applyBorder="1" applyAlignment="1">
      <alignment vertical="center" wrapText="1"/>
    </xf>
    <xf numFmtId="0" fontId="138" fillId="0" borderId="55" xfId="3" applyFont="1" applyBorder="1" applyAlignment="1">
      <alignment horizontal="center"/>
    </xf>
    <xf numFmtId="17" fontId="84" fillId="30" borderId="204" xfId="10" quotePrefix="1" applyNumberFormat="1" applyFont="1" applyFill="1" applyBorder="1" applyAlignment="1">
      <alignment horizontal="center"/>
    </xf>
    <xf numFmtId="17" fontId="84" fillId="30" borderId="206" xfId="10" quotePrefix="1" applyNumberFormat="1" applyFont="1" applyFill="1" applyBorder="1" applyAlignment="1">
      <alignment horizontal="center"/>
    </xf>
    <xf numFmtId="17" fontId="84" fillId="30" borderId="205" xfId="10" quotePrefix="1" applyNumberFormat="1" applyFont="1" applyFill="1" applyBorder="1" applyAlignment="1">
      <alignment horizontal="center"/>
    </xf>
    <xf numFmtId="165" fontId="77" fillId="12" borderId="7" xfId="0" applyNumberFormat="1" applyFont="1" applyFill="1" applyBorder="1"/>
  </cellXfs>
  <cellStyles count="89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>
    <filterColumn colId="0">
      <filters>
        <filter val="270B"/>
      </filters>
    </filterColumn>
  </autoFilter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I24" sqref="I24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302</v>
      </c>
      <c r="C3" s="155">
        <f>+VLOOKUP(B3,$K$3:$L$14,2,0)</f>
        <v>11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>X</v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G10" sqref="G10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Novembre 2025</v>
      </c>
      <c r="B3" s="2"/>
      <c r="C3" s="2"/>
      <c r="D3" s="2"/>
      <c r="E3" s="1273">
        <f>B18+B19+B20+B24+B26++B39+B40+B41+B43-E13-E22-E24-E23</f>
        <v>7674008.0499999989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269">
        <f>SUMIFS(BV_Data_An_Cour!$P:$P,BV_Data_An_Cour!$U:$U,$A$1,BV_Data_An_Cour!$V:$V,$A5)</f>
        <v>-60462.65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-60462.65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301275.44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81304.899999999994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137818.58000000002</v>
      </c>
      <c r="C10" s="460"/>
      <c r="D10" s="10" t="s">
        <v>16</v>
      </c>
      <c r="E10" s="487">
        <f>-SUMIFS(BV_Data_An_Cour!$P:$P,BV_Data_An_Cour!$U:$U,$A$1,BV_Data_An_Cour!$V:$V,$D10)</f>
        <v>118541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73863.62</v>
      </c>
      <c r="C11" s="460"/>
      <c r="D11" s="10" t="s">
        <v>18</v>
      </c>
      <c r="E11" s="487">
        <f>-SUMIFS(BV_Data_An_Cour!$P:$P,BV_Data_An_Cour!$U:$U,$A$1,BV_Data_An_Cour!$V:$V,$D11)</f>
        <v>99627.869999999966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12777.69</v>
      </c>
      <c r="C12" s="460"/>
      <c r="D12" s="10" t="s">
        <v>20</v>
      </c>
      <c r="E12" s="487">
        <f>-SUMIFS(BV_Data_An_Cour!$P:$P,BV_Data_An_Cour!$U:$U,$A$1,BV_Data_An_Cour!$V:$V,$D12)</f>
        <v>1047712.76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1272">
        <f>-SUMIFS(BV_Data_An_Cour!$P:$P,BV_Data_An_Cour!$U:$U,$A$1,BV_Data_An_Cour!$V:$V,$D13)</f>
        <v>147935.73000000001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328782.91000000003</v>
      </c>
      <c r="C14" s="460"/>
      <c r="D14" s="10" t="s">
        <v>24</v>
      </c>
      <c r="E14" s="487">
        <f>-SUMIFS(BV_Data_An_Cour!$P:$P,BV_Data_An_Cour!$U:$U,$A$1,BV_Data_An_Cour!$V:$V,$D14)</f>
        <v>56432.68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40376.68</v>
      </c>
      <c r="C15" s="460"/>
      <c r="D15" s="10" t="s">
        <v>26</v>
      </c>
      <c r="E15" s="487">
        <f>-SUMIFS(BV_Data_An_Cour!$P:$P,BV_Data_An_Cour!$U:$U,$A$1,BV_Data_An_Cour!$V:$V,$D15)</f>
        <v>-4527.57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976199.82000000007</v>
      </c>
      <c r="C16" s="461"/>
      <c r="D16" s="9" t="s">
        <v>28</v>
      </c>
      <c r="E16" s="492">
        <f>+SUM(E10:E15)</f>
        <v>1465722.4699999997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1272">
        <f>SUMIFS(BV_Data_An_Cour!$P:$P,BV_Data_An_Cour!$U:$U,$A$1,BV_Data_An_Cour!$V:$V,$A18)</f>
        <v>6521692.6600000001</v>
      </c>
      <c r="C18" s="460"/>
      <c r="D18" s="10" t="s">
        <v>30</v>
      </c>
      <c r="E18" s="487">
        <f>-SUMIFS(BV_Data_An_Cour!$P:$P,BV_Data_An_Cour!$U:$U,$A$1,BV_Data_An_Cour!$V:$V,$D18)</f>
        <v>6740822.2599999998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1272">
        <f>SUMIFS(BV_Data_An_Cour!$P:$P,BV_Data_An_Cour!$U:$U,$A$1,BV_Data_An_Cour!$V:$V,$A19)</f>
        <v>828409.24</v>
      </c>
      <c r="C19" s="460"/>
      <c r="D19" s="10" t="s">
        <v>32</v>
      </c>
      <c r="E19" s="487">
        <f>-SUMIFS(BV_Data_An_Cour!$P:$P,BV_Data_An_Cour!$U:$U,$A$1,BV_Data_An_Cour!$V:$V,$D19)</f>
        <v>638328.80000000005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1272">
        <f>SUMIFS(BV_Data_An_Cour!$P:$P,BV_Data_An_Cour!$U:$U,$A$1,BV_Data_An_Cour!$V:$V,$A20)</f>
        <v>464526.53</v>
      </c>
      <c r="C20" s="460"/>
      <c r="D20" s="9" t="s">
        <v>34</v>
      </c>
      <c r="E20" s="492">
        <f>+SUM(E18:E19)</f>
        <v>7379151.0599999996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7814628.4300000006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1272">
        <f>-SUMIFS(BV_Data_An_Cour!$P:$P,BV_Data_An_Cour!$U:$U,$A$1,BV_Data_An_Cour!$V:$V,$D22)</f>
        <v>252178.73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1316">
        <f>-SUMIFS(BV_Data_An_Cour!$P:$P,BV_Data_An_Cour!$U:$U,$A$1,BV_Data_An_Cour!$V:$V,$D23)</f>
        <v>16325.119999999999</v>
      </c>
      <c r="F23" s="2" t="s">
        <v>3020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1272">
        <f>SUMIFS(BV_Data_An_Cour!$P:$P,BV_Data_An_Cour!$U:$U,$A$1,BV_Data_An_Cour!$V:$V,$A24)</f>
        <v>320.3</v>
      </c>
      <c r="C24" s="460"/>
      <c r="D24" s="10" t="s">
        <v>40</v>
      </c>
      <c r="E24" s="1272">
        <f>-SUMIFS(BV_Data_An_Cour!$P:$P,BV_Data_An_Cour!$U:$U,$A$1,BV_Data_An_Cour!$V:$V,$D24)</f>
        <v>154800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1272">
        <f>SUMIFS(BV_Data_An_Cour!$P:$P,BV_Data_An_Cour!$U:$U,$A$1,BV_Data_An_Cour!$V:$V,$A26)</f>
        <v>3397.33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423303.85000000003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3717.63</v>
      </c>
      <c r="C30" s="461"/>
      <c r="D30" s="12" t="s">
        <v>46</v>
      </c>
      <c r="E30" s="488">
        <f>+E5+E7+E16+E20+E28</f>
        <v>9268177.379999999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8734083.2300000023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70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554929.49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1272">
        <f>SUMIFS(BV_Data_An_Cour!$P:$P,BV_Data_An_Cour!$U:$U,$A$1,BV_Data_An_Cour!$V:$V,$A39)</f>
        <v>197137.25999999998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1272">
        <f>SUMIFS(BV_Data_An_Cour!$P:$P,BV_Data_An_Cour!$U:$U,$A$1,BV_Data_An_Cour!$V:$V,$A40)</f>
        <v>196608.12999999995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1272">
        <f>SUMIFS(BV_Data_An_Cour!$P:$P,BV_Data_An_Cour!$U:$U,$A$1,BV_Data_An_Cour!$V:$V,$A41)</f>
        <v>23248.600000000006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1272">
        <f>SUMIFS(BV_Data_An_Cour!$P:$P,BV_Data_An_Cour!$U:$U,$A$1,BV_Data_An_Cour!$V:$V,$A43)</f>
        <v>9907.5800000000017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981831.05999999982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10419066.379999999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4750000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4511123.6199999973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10586792.369999999</v>
      </c>
      <c r="C53" s="462"/>
      <c r="D53" s="12" t="s">
        <v>72</v>
      </c>
      <c r="E53" s="488">
        <f>SUM(E48:E51)</f>
        <v>8901809.2199999969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19320875.600000001</v>
      </c>
      <c r="C56" s="462"/>
      <c r="D56" s="12" t="s">
        <v>74</v>
      </c>
      <c r="E56" s="488">
        <f>+E53+E45</f>
        <v>19320875.599999994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77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8" t="str">
        <f>"Budget 2023 Mensuel"&amp;" "&amp;Parametres!$B$1</f>
        <v>Budget 2023 Mensuel BMW Sherbrooke</v>
      </c>
      <c r="C1" s="1278"/>
      <c r="D1" s="1278"/>
      <c r="E1" s="1278"/>
      <c r="F1" s="1278"/>
      <c r="G1" s="1278"/>
      <c r="H1" s="1278"/>
      <c r="I1" s="1278"/>
      <c r="J1" s="1278"/>
      <c r="K1" s="1278"/>
      <c r="L1" s="1278"/>
      <c r="M1" s="1278"/>
      <c r="N1" s="1278"/>
      <c r="O1" s="1278"/>
      <c r="P1" s="1278"/>
      <c r="Q1" s="1278"/>
      <c r="R1" s="1278"/>
      <c r="S1" s="1278"/>
      <c r="T1" s="1278"/>
      <c r="U1" s="1278"/>
      <c r="V1" s="1278"/>
      <c r="W1" s="1278"/>
      <c r="X1" s="1278"/>
      <c r="Y1" s="1278"/>
      <c r="Z1" s="1278"/>
      <c r="AA1" s="1278"/>
      <c r="AB1" s="1278"/>
      <c r="AC1" s="1278"/>
      <c r="AD1" s="1278"/>
      <c r="AE1" s="1278"/>
      <c r="AF1" s="1278"/>
      <c r="AG1" s="1278"/>
      <c r="AH1" s="1278"/>
      <c r="AI1" s="1278"/>
      <c r="AJ1" s="1278"/>
      <c r="AK1" s="1278"/>
      <c r="AL1" s="1278"/>
      <c r="AM1" s="1278"/>
      <c r="AN1" s="1278"/>
      <c r="AO1" s="1278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>X</v>
      </c>
      <c r="AK2" s="538" t="str">
        <f>+IF(Parametres!$B$3=AJ$6,"O","")</f>
        <v>O</v>
      </c>
      <c r="AL2" s="538" t="str">
        <f>+IF(Parametres!$B$3=AJ$6,"U","")</f>
        <v>U</v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2934</v>
      </c>
      <c r="C4" s="1279" t="s">
        <v>75</v>
      </c>
      <c r="D4" s="1279"/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79"/>
      <c r="AM4" s="1279"/>
      <c r="AN4" s="1279"/>
      <c r="AO4" s="127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8" t="str">
        <f>"Budget 2023 Mensuel"&amp;" "&amp;Parametres!$B$1</f>
        <v>Budget 2023 Mensuel BMW Sherbrooke</v>
      </c>
      <c r="C1" s="1278"/>
      <c r="D1" s="1278"/>
      <c r="E1" s="1278"/>
      <c r="F1" s="1278"/>
      <c r="G1" s="1278"/>
      <c r="H1" s="1278"/>
      <c r="I1" s="1278"/>
      <c r="J1" s="1278"/>
      <c r="K1" s="1278"/>
      <c r="L1" s="1278"/>
      <c r="M1" s="1278"/>
      <c r="N1" s="1278"/>
      <c r="O1" s="1278"/>
      <c r="P1" s="1278"/>
      <c r="Q1" s="1278"/>
      <c r="R1" s="1278"/>
      <c r="S1" s="1278"/>
      <c r="T1" s="1278"/>
      <c r="U1" s="1278"/>
      <c r="V1" s="1278"/>
      <c r="W1" s="1278"/>
      <c r="X1" s="1278"/>
      <c r="Y1" s="1278"/>
      <c r="Z1" s="1278"/>
      <c r="AA1" s="1278"/>
      <c r="AB1" s="1278"/>
      <c r="AC1" s="1278"/>
      <c r="AD1" s="1278"/>
      <c r="AE1" s="1278"/>
      <c r="AF1" s="1278"/>
      <c r="AG1" s="1278"/>
      <c r="AH1" s="1278"/>
      <c r="AI1" s="1278"/>
      <c r="AJ1" s="1278"/>
      <c r="AK1" s="1278"/>
      <c r="AL1" s="1278"/>
      <c r="AM1" s="1278"/>
      <c r="AN1" s="1278"/>
      <c r="AO1" s="1278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>X</v>
      </c>
      <c r="AK2" s="538" t="str">
        <f>+IF(Parametres!$B$3=AJ$6,"O","")</f>
        <v>O</v>
      </c>
      <c r="AL2" s="538" t="str">
        <f>+IF(Parametres!$B$3=AJ$6,"U","")</f>
        <v>U</v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2935</v>
      </c>
      <c r="C4" s="1279" t="s">
        <v>75</v>
      </c>
      <c r="D4" s="1279"/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79"/>
      <c r="AM4" s="1279"/>
      <c r="AN4" s="1279"/>
      <c r="AO4" s="127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C1" zoomScale="80" zoomScaleNormal="80" workbookViewId="0">
      <selection activeCell="Q16" sqref="Q16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FORECAST</v>
      </c>
      <c r="T3" s="969"/>
    </row>
    <row r="4" spans="1:24" s="978" customFormat="1" ht="30" customHeight="1" thickBot="1">
      <c r="A4" s="1280" t="s">
        <v>2310</v>
      </c>
      <c r="B4" s="1280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81"/>
      <c r="B5" s="1281"/>
      <c r="C5" s="1282" t="s">
        <v>1994</v>
      </c>
      <c r="D5" s="1283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60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8" t="s">
        <v>2981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22" t="s">
        <v>2995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22" t="s">
        <v>2996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22" t="s">
        <v>3013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284" t="s">
        <v>2858</v>
      </c>
      <c r="C1" s="1285"/>
      <c r="D1" s="1285"/>
      <c r="E1" s="1285"/>
      <c r="F1" s="1285"/>
      <c r="G1" s="1285"/>
      <c r="H1" s="1285"/>
      <c r="I1" s="1285"/>
      <c r="J1" s="1286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3"/>
      <c r="I6" s="1183"/>
      <c r="J6" s="1184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289" t="str">
        <f>"Analyse Wholesale "&amp;Parametres!B1</f>
        <v>Analyse Wholesale BMW Sherbrooke</v>
      </c>
      <c r="D1" s="1289"/>
      <c r="E1" s="1289"/>
      <c r="F1" s="1289"/>
      <c r="G1" s="1289"/>
      <c r="H1" s="1289"/>
      <c r="I1" s="1289"/>
      <c r="J1" s="1289"/>
      <c r="K1" s="1289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290" t="str">
        <f>CONCATENATE("Pièces Wholesale ",Parametres!B3," ",Parametres!B4)</f>
        <v>Pièces Wholesale Novembre 2025</v>
      </c>
      <c r="F4" s="1291"/>
      <c r="G4" s="1291"/>
      <c r="H4" s="1292"/>
      <c r="J4" s="1293" t="str">
        <f>CONCATENATE("Pièces Wholesale AAD ",Parametres!B4)</f>
        <v>Pièces Wholesale AAD 2025</v>
      </c>
      <c r="K4" s="1294"/>
      <c r="L4" s="1294"/>
      <c r="M4" s="1295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22</v>
      </c>
      <c r="F6" s="1049">
        <f>SUMIF(A37:A48,"X",F37:F48)</f>
        <v>22</v>
      </c>
      <c r="G6" s="1048">
        <f>E6-F6</f>
        <v>0</v>
      </c>
      <c r="H6" s="1186">
        <f>G6/F6</f>
        <v>0</v>
      </c>
      <c r="J6" s="1187">
        <f>SUMIF($B$37:$B$48,"X",$E$37:$E$48)</f>
        <v>301</v>
      </c>
      <c r="K6" s="1049">
        <f>SUMIF($B$37:$B$48,"X",$F$37:$F$48)</f>
        <v>242</v>
      </c>
      <c r="L6" s="1048">
        <f>J6-K6</f>
        <v>59</v>
      </c>
      <c r="M6" s="1050">
        <f>L6/K6</f>
        <v>0.24380165289256198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50422.46</v>
      </c>
      <c r="F7" s="1055">
        <f>+INDEX('Budget original'!$A$2:$AO$501,MATCH($A7,'Budget original'!$A$2:$A$501,0),MATCH(F$2,'Budget original'!$A$2:$AO$2,0))</f>
        <v>61767.125077228797</v>
      </c>
      <c r="G7" s="1056">
        <f>E7-F7</f>
        <v>-11344.665077228798</v>
      </c>
      <c r="H7" s="1057">
        <f>G7/F7</f>
        <v>-0.18366833591565598</v>
      </c>
      <c r="J7" s="1054">
        <f>-SUMIFS(BV_Data_An_Cour!$P:$P,BV_Data_An_Cour!$X:$X,"Oui",BV_Data_An_Cour!$U:$U,$B7,BV_Data_An_Cour!$V:$V,$C7)</f>
        <v>599245.91</v>
      </c>
      <c r="K7" s="1055" cm="1">
        <f t="array" ref="K7">+SUMPRODUCT(('Budget original'!$A$8:$A$501=$A7)*('Budget original'!$C$3:$AO$3=N$2),'Budget original'!$C$8:$AO$501)</f>
        <v>528113.69124276831</v>
      </c>
      <c r="L7" s="1058">
        <f t="shared" ref="L7:L10" si="0">J7-K7</f>
        <v>71132.21875723172</v>
      </c>
      <c r="M7" s="1057">
        <f>L7/K7</f>
        <v>0.13469110901071676</v>
      </c>
    </row>
    <row r="8" spans="1:17">
      <c r="A8" s="1051"/>
      <c r="B8" s="1051"/>
      <c r="C8" s="1059" t="s">
        <v>2822</v>
      </c>
      <c r="D8" s="1053"/>
      <c r="E8" s="1060">
        <f>E7-E9</f>
        <v>39672.17</v>
      </c>
      <c r="F8" s="1061">
        <f>F7-F9</f>
        <v>46489.05006178304</v>
      </c>
      <c r="G8" s="1054">
        <f t="shared" ref="G8:G15" si="1">E8-F8</f>
        <v>-6816.880061783042</v>
      </c>
      <c r="H8" s="1062">
        <f t="shared" ref="H8:H9" si="2">G8/F8</f>
        <v>-0.1466341009920302</v>
      </c>
      <c r="J8" s="1060">
        <f>J7-J9</f>
        <v>460206.11999999994</v>
      </c>
      <c r="K8" s="1061">
        <f>K7-K9</f>
        <v>390894.02299421467</v>
      </c>
      <c r="L8" s="1054">
        <f t="shared" si="0"/>
        <v>69312.097005785268</v>
      </c>
      <c r="M8" s="1062">
        <f t="shared" ref="M8:M9" si="3">L8/K8</f>
        <v>0.17731685042114625</v>
      </c>
    </row>
    <row r="9" spans="1:17">
      <c r="C9" s="1063" t="s">
        <v>195</v>
      </c>
      <c r="D9" s="1053"/>
      <c r="E9" s="1064">
        <f>E12+E11</f>
        <v>10750.29</v>
      </c>
      <c r="F9" s="1065">
        <f>F12+F11</f>
        <v>15278.07501544576</v>
      </c>
      <c r="G9" s="1064">
        <f t="shared" si="1"/>
        <v>-4527.7850154457592</v>
      </c>
      <c r="H9" s="1062">
        <f t="shared" si="2"/>
        <v>-0.29635834428540764</v>
      </c>
      <c r="J9" s="1064">
        <f>J12+J11</f>
        <v>139039.7900000001</v>
      </c>
      <c r="K9" s="1065">
        <f>K12+K11</f>
        <v>137219.66824855367</v>
      </c>
      <c r="L9" s="1064">
        <f t="shared" si="0"/>
        <v>1820.1217514464224</v>
      </c>
      <c r="M9" s="1062">
        <f t="shared" si="3"/>
        <v>1.3264292026632318E-2</v>
      </c>
    </row>
    <row r="10" spans="1:17">
      <c r="A10" s="1051"/>
      <c r="B10" s="1051"/>
      <c r="C10" s="1059" t="s">
        <v>2823</v>
      </c>
      <c r="D10" s="1053"/>
      <c r="E10" s="1066">
        <f>E9/E7</f>
        <v>0.21320439343895559</v>
      </c>
      <c r="F10" s="1067">
        <f>F9/F7</f>
        <v>0.24734962160442545</v>
      </c>
      <c r="G10" s="1066">
        <f t="shared" si="1"/>
        <v>-3.414522816546986E-2</v>
      </c>
      <c r="H10" s="1062"/>
      <c r="J10" s="1066">
        <f>J9/J7</f>
        <v>0.2320245957123013</v>
      </c>
      <c r="K10" s="1067">
        <f>K9/K7</f>
        <v>0.25982978764599995</v>
      </c>
      <c r="L10" s="1066">
        <f t="shared" si="0"/>
        <v>-2.7805191933698653E-2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1495.18</v>
      </c>
      <c r="F11" s="1069">
        <f>SUMIF($A$37:$A$48,"X",$G$37:$G$48)</f>
        <v>2924.65</v>
      </c>
      <c r="G11" s="1058">
        <f t="shared" si="1"/>
        <v>-1429.47</v>
      </c>
      <c r="H11" s="1057">
        <f t="shared" ref="H11:H12" si="4">G11/F11</f>
        <v>-0.48876617714940251</v>
      </c>
      <c r="J11" s="1058">
        <f>SUMIFS(BV_Data_An_Cour!$P:$P,BV_Data_An_Cour!$W:$W,$L$2,BV_Data_An_Cour!T:T,C31)</f>
        <v>23695.07</v>
      </c>
      <c r="K11" s="1069">
        <f>SUMIF($B$37:$B$48,"X",$G$37:$G$48)</f>
        <v>31596.93</v>
      </c>
      <c r="L11" s="1058">
        <f>J11-K11</f>
        <v>-7901.8600000000006</v>
      </c>
      <c r="M11" s="1057">
        <f t="shared" ref="M11:M12" si="5">L11/K11</f>
        <v>-0.25008315681301951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9255.11</v>
      </c>
      <c r="F12" s="1065">
        <f>+INDEX('Budget original'!$A$2:$AO$501,MATCH(B12&amp;$A12,'Budget original'!$A$2:$A$501,0),MATCH(G$2,'Budget original'!$A$2:$AO$2,0))</f>
        <v>12353.42501544576</v>
      </c>
      <c r="G12" s="1064">
        <f t="shared" si="1"/>
        <v>-3098.3150154457599</v>
      </c>
      <c r="H12" s="1062">
        <f t="shared" si="4"/>
        <v>-0.25080615388621924</v>
      </c>
      <c r="J12" s="1064">
        <f>-SUMIFS(BV_Data_An_Cour!$P:$P,BV_Data_An_Cour!$U:$U,$B12,BV_Data_An_Cour!$V:$V,$A12,BV_Data_An_Cour!$W:$W,$D$2)</f>
        <v>115344.72000000009</v>
      </c>
      <c r="K12" s="1065" cm="1">
        <f t="array" ref="K12">+SUMPRODUCT(('Budget original'!$A$8:$A$501=B12&amp;$A12)*('Budget original'!$C$3:$AO$3=O$2),'Budget original'!$C$8:$AO$501)</f>
        <v>105622.73824855367</v>
      </c>
      <c r="L12" s="1064">
        <f t="shared" ref="L12:L16" si="6">J12-K12</f>
        <v>9721.981751446423</v>
      </c>
      <c r="M12" s="1062">
        <f t="shared" si="5"/>
        <v>9.2044401732593317E-2</v>
      </c>
    </row>
    <row r="13" spans="1:17">
      <c r="A13" s="1041"/>
      <c r="B13" s="1041"/>
      <c r="C13" s="1059" t="s">
        <v>108</v>
      </c>
      <c r="D13" s="1053"/>
      <c r="E13" s="1066">
        <f>(E12)/E7</f>
        <v>0.18355133803467741</v>
      </c>
      <c r="F13" s="1067">
        <f>(F12)/F7</f>
        <v>0.2</v>
      </c>
      <c r="G13" s="1071">
        <f t="shared" si="1"/>
        <v>-1.6448661965322603E-2</v>
      </c>
      <c r="H13" s="1072"/>
      <c r="J13" s="1066">
        <f>(J12)/J7</f>
        <v>0.19248311598822607</v>
      </c>
      <c r="K13" s="1067">
        <f>(K12)/K7</f>
        <v>0.2</v>
      </c>
      <c r="L13" s="1071">
        <f t="shared" si="6"/>
        <v>-7.5168840117739444E-3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550</v>
      </c>
      <c r="F14" s="1073">
        <f>SUMIF(A37:A48,"X",F37:F48)*$G$33</f>
        <v>550</v>
      </c>
      <c r="G14" s="1054">
        <f>E14-F14</f>
        <v>0</v>
      </c>
      <c r="H14" s="1062">
        <f t="shared" ref="H14:H15" si="7">G14/F14</f>
        <v>0</v>
      </c>
      <c r="J14" s="1058">
        <f>SUMIFS(BV_Data_An_Cour!$P:$P,BV_Data_An_Cour!$W:$W,$L$2,BV_Data_An_Cour!T:T,C33)</f>
        <v>7525</v>
      </c>
      <c r="K14" s="1073">
        <f>SUMIF(B37:B48,"X",F37:F48)*$G$33</f>
        <v>6050</v>
      </c>
      <c r="L14" s="1054">
        <f t="shared" si="6"/>
        <v>1475</v>
      </c>
      <c r="M14" s="1062">
        <f t="shared" ref="M14:M15" si="8">L14/K14</f>
        <v>0.24380165289256198</v>
      </c>
    </row>
    <row r="15" spans="1:17">
      <c r="C15" s="1063" t="s">
        <v>2826</v>
      </c>
      <c r="D15" s="1053"/>
      <c r="E15" s="1064">
        <f>E12-E14</f>
        <v>8705.11</v>
      </c>
      <c r="F15" s="1065">
        <f t="shared" ref="F15" si="9">F12-F14</f>
        <v>11803.42501544576</v>
      </c>
      <c r="G15" s="1064">
        <f t="shared" si="1"/>
        <v>-3098.3150154457599</v>
      </c>
      <c r="H15" s="1062">
        <f t="shared" si="7"/>
        <v>-0.26249287909156516</v>
      </c>
      <c r="J15" s="1064">
        <f t="shared" ref="J15:K15" si="10">J12-J14</f>
        <v>107819.72000000009</v>
      </c>
      <c r="K15" s="1065">
        <f t="shared" si="10"/>
        <v>99572.738248553665</v>
      </c>
      <c r="L15" s="1064">
        <f t="shared" si="6"/>
        <v>8246.981751446423</v>
      </c>
      <c r="M15" s="1062">
        <f t="shared" si="8"/>
        <v>8.2823691469248242E-2</v>
      </c>
    </row>
    <row r="16" spans="1:17">
      <c r="C16" s="1074" t="s">
        <v>2827</v>
      </c>
      <c r="D16" s="1075"/>
      <c r="E16" s="1071">
        <f>E15/E7</f>
        <v>0.17264350053527736</v>
      </c>
      <c r="F16" s="1076">
        <f>F15/F7</f>
        <v>0.19109558686255315</v>
      </c>
      <c r="G16" s="1071">
        <f>E16-F16</f>
        <v>-1.8452086327275796E-2</v>
      </c>
      <c r="H16" s="1076"/>
      <c r="J16" s="1071">
        <f>J15/J7</f>
        <v>0.1799256669102674</v>
      </c>
      <c r="K16" s="1076">
        <f>K15/K7</f>
        <v>0.18854413339339299</v>
      </c>
      <c r="L16" s="1071">
        <f t="shared" si="6"/>
        <v>-8.6184664831255864E-3</v>
      </c>
      <c r="M16" s="1077"/>
    </row>
    <row r="17" spans="3:13">
      <c r="C17" s="1078"/>
      <c r="G17" s="1079"/>
      <c r="K17" s="1079"/>
    </row>
    <row r="18" spans="3:13">
      <c r="E18" s="1290" t="str">
        <f>CONCATENATE("Pièces Wholesale $ / livraison ",Parametres!B3," ",Parametres!B4)</f>
        <v>Pièces Wholesale $ / livraison Novembre 2025</v>
      </c>
      <c r="F18" s="1291"/>
      <c r="G18" s="1291"/>
      <c r="H18" s="1292"/>
      <c r="J18" s="1293" t="str">
        <f>CONCATENATE("Pièces Wholesale AAD $ / livraison ",Parametres!B4)</f>
        <v>Pièces Wholesale AAD $ / livraison 2025</v>
      </c>
      <c r="K18" s="1294"/>
      <c r="L18" s="1294"/>
      <c r="M18" s="1295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>
        <f>E7/E$6</f>
        <v>2291.9299999999998</v>
      </c>
      <c r="F20" s="1055">
        <f>F7/F$6</f>
        <v>2807.5965944194909</v>
      </c>
      <c r="G20" s="1058">
        <f t="shared" ref="G20:G25" si="11">E20-F20</f>
        <v>-515.66659441949105</v>
      </c>
      <c r="H20" s="1057">
        <f t="shared" ref="H20:H26" si="12">G20/F20</f>
        <v>-0.18366833591565607</v>
      </c>
      <c r="J20" s="1054">
        <f>J7/J$6</f>
        <v>1990.8501993355483</v>
      </c>
      <c r="K20" s="1055">
        <f>K7/K$6</f>
        <v>2182.2879803420178</v>
      </c>
      <c r="L20" s="1058">
        <f t="shared" ref="L20:L25" si="13">J20-K20</f>
        <v>-191.43778100646955</v>
      </c>
      <c r="M20" s="1057">
        <f t="shared" ref="M20:M26" si="14">L20/K20</f>
        <v>-8.7723427306998489E-2</v>
      </c>
    </row>
    <row r="21" spans="3:13">
      <c r="C21" s="1059" t="s">
        <v>2822</v>
      </c>
      <c r="D21" s="1053"/>
      <c r="E21" s="1060">
        <f t="shared" ref="E21:F22" si="15">E8/E$6</f>
        <v>1803.2804545454544</v>
      </c>
      <c r="F21" s="1061">
        <f>F8/F$6</f>
        <v>2113.1386391719566</v>
      </c>
      <c r="G21" s="1054">
        <f t="shared" si="11"/>
        <v>-309.85818462650218</v>
      </c>
      <c r="H21" s="1062">
        <f t="shared" si="12"/>
        <v>-0.14663410099203031</v>
      </c>
      <c r="J21" s="1060">
        <f t="shared" ref="J21:K22" si="16">J8/J$6</f>
        <v>1528.9239867109632</v>
      </c>
      <c r="K21" s="1061">
        <f t="shared" si="16"/>
        <v>1615.2645578273334</v>
      </c>
      <c r="L21" s="1054">
        <f t="shared" si="13"/>
        <v>-86.340571116370256</v>
      </c>
      <c r="M21" s="1062">
        <f t="shared" si="14"/>
        <v>-5.3452897668048623E-2</v>
      </c>
    </row>
    <row r="22" spans="3:13">
      <c r="C22" s="1063" t="s">
        <v>195</v>
      </c>
      <c r="D22" s="1053"/>
      <c r="E22" s="1064">
        <f>E9/E$6</f>
        <v>488.64954545454549</v>
      </c>
      <c r="F22" s="1065">
        <f t="shared" si="15"/>
        <v>694.45795524753453</v>
      </c>
      <c r="G22" s="1064">
        <f t="shared" si="11"/>
        <v>-205.80840979298904</v>
      </c>
      <c r="H22" s="1062">
        <f t="shared" si="12"/>
        <v>-0.29635834428540764</v>
      </c>
      <c r="J22" s="1064">
        <f t="shared" si="16"/>
        <v>461.92621262458505</v>
      </c>
      <c r="K22" s="1065">
        <f t="shared" si="16"/>
        <v>567.02342251468463</v>
      </c>
      <c r="L22" s="1064">
        <f t="shared" si="13"/>
        <v>-105.09720989009958</v>
      </c>
      <c r="M22" s="1062">
        <f t="shared" si="14"/>
        <v>-0.18534897451679397</v>
      </c>
    </row>
    <row r="23" spans="3:13">
      <c r="C23" s="1068" t="s">
        <v>2824</v>
      </c>
      <c r="D23" s="1053"/>
      <c r="E23" s="1058">
        <f>E11/E$6</f>
        <v>67.962727272727278</v>
      </c>
      <c r="F23" s="1069">
        <f>F11/F$6</f>
        <v>132.93863636363636</v>
      </c>
      <c r="G23" s="1058">
        <f t="shared" si="11"/>
        <v>-64.975909090909084</v>
      </c>
      <c r="H23" s="1057">
        <f t="shared" si="12"/>
        <v>-0.48876617714940246</v>
      </c>
      <c r="J23" s="1058">
        <f t="shared" ref="J23:K23" si="17">J11/J$6</f>
        <v>78.721162790697676</v>
      </c>
      <c r="K23" s="1069">
        <f t="shared" si="17"/>
        <v>130.56582644628099</v>
      </c>
      <c r="L23" s="1058">
        <f t="shared" si="13"/>
        <v>-51.844663655583318</v>
      </c>
      <c r="M23" s="1057">
        <f t="shared" si="14"/>
        <v>-0.39707682375000236</v>
      </c>
    </row>
    <row r="24" spans="3:13">
      <c r="C24" s="1063" t="s">
        <v>2399</v>
      </c>
      <c r="D24" s="1053"/>
      <c r="E24" s="1064">
        <f>E12/E$6</f>
        <v>420.68681818181818</v>
      </c>
      <c r="F24" s="1065">
        <f>F12/F$6</f>
        <v>561.51931888389822</v>
      </c>
      <c r="G24" s="1080">
        <f t="shared" si="11"/>
        <v>-140.83250070208004</v>
      </c>
      <c r="H24" s="1072">
        <f t="shared" si="12"/>
        <v>-0.25080615388621935</v>
      </c>
      <c r="J24" s="1064">
        <f>J12/J$6</f>
        <v>383.20504983388736</v>
      </c>
      <c r="K24" s="1065">
        <f>K12/K$6</f>
        <v>436.45759606840357</v>
      </c>
      <c r="L24" s="1080">
        <f t="shared" si="13"/>
        <v>-53.252546234516217</v>
      </c>
      <c r="M24" s="1072">
        <f t="shared" si="14"/>
        <v>-0.12201081322495815</v>
      </c>
    </row>
    <row r="25" spans="3:13">
      <c r="C25" s="1068" t="s">
        <v>2825</v>
      </c>
      <c r="D25" s="1053"/>
      <c r="E25" s="1081">
        <f>E14/E$6</f>
        <v>25</v>
      </c>
      <c r="F25" s="1073">
        <f>F14/F$6</f>
        <v>25</v>
      </c>
      <c r="G25" s="1054">
        <f t="shared" si="11"/>
        <v>0</v>
      </c>
      <c r="H25" s="1062">
        <f t="shared" si="12"/>
        <v>0</v>
      </c>
      <c r="J25" s="1058">
        <f t="shared" ref="J25:K25" si="18">J14/J$6</f>
        <v>25</v>
      </c>
      <c r="K25" s="1073">
        <f t="shared" si="18"/>
        <v>25</v>
      </c>
      <c r="L25" s="1054">
        <f t="shared" si="13"/>
        <v>0</v>
      </c>
      <c r="M25" s="1062">
        <f t="shared" si="14"/>
        <v>0</v>
      </c>
    </row>
    <row r="26" spans="3:13">
      <c r="C26" s="1082" t="s">
        <v>2826</v>
      </c>
      <c r="D26" s="1053"/>
      <c r="E26" s="1080">
        <f>E15/E$6</f>
        <v>395.68681818181818</v>
      </c>
      <c r="F26" s="1083">
        <f>F15/F$6</f>
        <v>536.51931888389822</v>
      </c>
      <c r="G26" s="1080">
        <f>E26-F26</f>
        <v>-140.83250070208004</v>
      </c>
      <c r="H26" s="1072">
        <f t="shared" si="12"/>
        <v>-0.26249287909156527</v>
      </c>
      <c r="J26" s="1080">
        <f>J15/J$6</f>
        <v>358.20504983388736</v>
      </c>
      <c r="K26" s="1083">
        <f>K15/K$6</f>
        <v>411.45759606840357</v>
      </c>
      <c r="L26" s="1080">
        <f>J26-K26</f>
        <v>-53.252546234516217</v>
      </c>
      <c r="M26" s="1072">
        <f t="shared" si="14"/>
        <v>-0.12942414174233191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0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296" t="s">
        <v>2834</v>
      </c>
      <c r="F33" s="1296"/>
      <c r="G33" s="1091">
        <v>25</v>
      </c>
    </row>
    <row r="35" spans="1:41">
      <c r="E35" s="1287" t="s">
        <v>2835</v>
      </c>
      <c r="F35" s="1288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>X</v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/>
      </c>
      <c r="B48" s="1037" t="str">
        <f>+IF(VLOOKUP($C48,Parametres!$K$3:$N$14,4,0)="X","X","")</f>
        <v/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A25" zoomScale="70" zoomScaleNormal="70" workbookViewId="0">
      <selection activeCell="A241" sqref="A241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Novembre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300" t="s">
        <v>77</v>
      </c>
      <c r="E3" s="1301"/>
      <c r="F3" s="1302"/>
      <c r="G3" s="1303"/>
      <c r="H3" s="1301"/>
      <c r="I3" s="1302"/>
      <c r="J3" s="1303" t="s">
        <v>78</v>
      </c>
      <c r="K3" s="1301"/>
      <c r="L3" s="1302"/>
      <c r="M3" s="1303" t="s">
        <v>2442</v>
      </c>
      <c r="N3" s="1302"/>
      <c r="O3" s="1300" t="s">
        <v>79</v>
      </c>
      <c r="P3" s="1301"/>
      <c r="Q3" s="1302"/>
      <c r="R3" s="1304" t="s">
        <v>2446</v>
      </c>
      <c r="S3" s="1305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1921112.4895841447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1161482.5300000003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3424220.96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7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30144.767441860462</v>
      </c>
      <c r="G6" s="182"/>
      <c r="H6" s="179"/>
      <c r="I6" s="179"/>
      <c r="J6" s="182">
        <f>-SUMIFS(BV_Data_An_Cour!$O:$O,BV_Data_An_Cour!$U:$U,$B6,BV_Data_An_Cour!$V:$V,$C6,BV_Data_An_Cour!$W:$W,J$2)</f>
        <v>1</v>
      </c>
      <c r="K6" s="179">
        <f>IF(J6=0,0,L6/J6)</f>
        <v>4194.4400000000023</v>
      </c>
      <c r="L6" s="473">
        <f>-SUMIFS(BV_Data_An_Cour!$O:$O,BV_Data_An_Cour!$U:$U,$B6,BV_Data_An_Cour!$V:$V,$C6,BV_Data_An_Cour!$W:$W,L$2)</f>
        <v>4194.4400000000023</v>
      </c>
      <c r="M6" s="182">
        <f t="shared" ref="M6:M12" si="2">J6-D6</f>
        <v>-6</v>
      </c>
      <c r="N6" s="180">
        <f t="shared" ref="N6:N12" si="3">L6-F6</f>
        <v>-25950.32744186046</v>
      </c>
      <c r="O6" s="182">
        <f>+INDEX('Réel 2024'!$A$2:$AO$501,MATCH($A6,'Réel 2024'!$A$2:$A$501,0),MATCH(O$2,'Réel 2024'!$A$2:$AO$2,0))</f>
        <v>9</v>
      </c>
      <c r="P6" s="179">
        <f t="shared" ref="P6:P12" si="4">IF(O6=0,0,Q6/O6)</f>
        <v>5377.2044444444437</v>
      </c>
      <c r="Q6" s="473">
        <f t="array" ref="Q6">+INDEX('Réel 2024'!$A$2:$AO$501,MATCH($A6,'Réel 2024'!$A$2:$A$501,0),MATCH(Q$2,'Réel 2024'!$A$2:$AO$2,0))</f>
        <v>48394.84</v>
      </c>
      <c r="R6" s="182">
        <f>J6-O6</f>
        <v>-8</v>
      </c>
      <c r="S6" s="345">
        <f>L6-Q6</f>
        <v>-44200.399999999994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11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44003.642384105959</v>
      </c>
      <c r="G7" s="182"/>
      <c r="H7" s="179"/>
      <c r="I7" s="179"/>
      <c r="J7" s="182">
        <f>-SUMIFS(BV_Data_An_Cour!$O:$O,BV_Data_An_Cour!$U:$U,$B7,BV_Data_An_Cour!$V:$V,$C7,BV_Data_An_Cour!$W:$W,J$2)</f>
        <v>8</v>
      </c>
      <c r="K7" s="179">
        <f t="shared" ref="K7:K12" si="6">IF(J7=0,0,L7/J7)</f>
        <v>3904.0600000000122</v>
      </c>
      <c r="L7" s="473">
        <f>-SUMIFS(BV_Data_An_Cour!$O:$O,BV_Data_An_Cour!$U:$U,$B7,BV_Data_An_Cour!$V:$V,$C7,BV_Data_An_Cour!$W:$W,L$2)</f>
        <v>31232.480000000098</v>
      </c>
      <c r="M7" s="182">
        <f t="shared" si="2"/>
        <v>-3</v>
      </c>
      <c r="N7" s="180">
        <f t="shared" si="3"/>
        <v>-12771.162384105861</v>
      </c>
      <c r="O7" s="182">
        <f t="array" ref="O7">+INDEX('Réel 2024'!$A$2:$AO$501,MATCH($A7,'Réel 2024'!$A$2:$A$501,0),MATCH(O$2,'Réel 2024'!$A$2:$AO$2,0))</f>
        <v>23</v>
      </c>
      <c r="P7" s="179">
        <f t="shared" si="4"/>
        <v>3739.0256521739084</v>
      </c>
      <c r="Q7" s="473">
        <f t="array" ref="Q7">+INDEX('Réel 2024'!$A$2:$AO$501,MATCH($A7,'Réel 2024'!$A$2:$A$501,0),MATCH(Q$2,'Réel 2024'!$A$2:$AO$2,0))</f>
        <v>85997.589999999895</v>
      </c>
      <c r="R7" s="182">
        <f t="shared" ref="R7:R12" si="7">J7-O7</f>
        <v>-15</v>
      </c>
      <c r="S7" s="345">
        <f t="shared" ref="S7:S12" si="8">L7-Q7</f>
        <v>-54765.109999999797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18</v>
      </c>
      <c r="E13" s="346">
        <f>IF(D13&lt;=0,0,F13/D13)</f>
        <v>4119.3561014425786</v>
      </c>
      <c r="F13" s="347">
        <f>+SUM(F6:F12)</f>
        <v>74148.409825966417</v>
      </c>
      <c r="G13" s="348"/>
      <c r="H13" s="346"/>
      <c r="I13" s="347"/>
      <c r="J13" s="348">
        <f>+SUM(J6:J12)</f>
        <v>9</v>
      </c>
      <c r="K13" s="346">
        <f>IF(J13&lt;=0,0,L13/J13)</f>
        <v>3936.3244444444554</v>
      </c>
      <c r="L13" s="347">
        <f>+SUM(L6:L12)</f>
        <v>35426.9200000001</v>
      </c>
      <c r="M13" s="348">
        <f>+SUM(M6:M12)</f>
        <v>-9</v>
      </c>
      <c r="N13" s="347">
        <f>+SUM(N6:N12)</f>
        <v>-38721.489825966317</v>
      </c>
      <c r="O13" s="348">
        <f>+SUM(O6:O12)</f>
        <v>32</v>
      </c>
      <c r="P13" s="346">
        <f>IF(O13&lt;=0,0,Q13/O13)</f>
        <v>4199.7634374999961</v>
      </c>
      <c r="Q13" s="347">
        <f>+SUM(Q6:Q12)</f>
        <v>134392.42999999988</v>
      </c>
      <c r="R13" s="348">
        <f>+SUM(R6:R12)</f>
        <v>-23</v>
      </c>
      <c r="S13" s="349">
        <f>+SUM(S6:S12)</f>
        <v>-98965.509999999791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-0.52221605179193253</v>
      </c>
      <c r="O14" s="223"/>
      <c r="P14" s="179"/>
      <c r="Q14" s="265"/>
      <c r="R14" s="235">
        <f>R13/O13</f>
        <v>-0.71875</v>
      </c>
      <c r="S14" s="262">
        <f>IF(Q13=0,0,(S13/Q13))</f>
        <v>-0.73639199767427288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3</v>
      </c>
      <c r="K15" s="467">
        <f>IF(J15=0,0,L15/J15)</f>
        <v>4171.7233333333279</v>
      </c>
      <c r="L15" s="467">
        <f>-SUMIFS(BV_Data_An_Cour!$O:$O,BV_Data_An_Cour!$U:$U,$B15,BV_Data_An_Cour!$V:$V,$C15,BV_Data_An_Cour!$W:$W,L$2)</f>
        <v>12515.169999999984</v>
      </c>
      <c r="M15" s="351">
        <f>J15-D15</f>
        <v>0</v>
      </c>
      <c r="N15" s="350">
        <f>L15-F15</f>
        <v>10265.169999999984</v>
      </c>
      <c r="O15" s="466">
        <f t="array" ref="O15">+INDEX('Réel 2024'!$A$2:$AO$501,MATCH($A15,'Réel 2024'!$A$2:$A$501,0),MATCH(O$2,'Réel 2024'!$A$2:$AO$2,0))</f>
        <v>3</v>
      </c>
      <c r="P15" s="467">
        <f>IF(O15=0,0,Q15/O15)</f>
        <v>-5578.1033333332998</v>
      </c>
      <c r="Q15" s="467">
        <f t="array" ref="Q15">+INDEX('Réel 2024'!$A$2:$AO$501,MATCH($A15,'Réel 2024'!$A$2:$A$501,0),MATCH(Q$2,'Réel 2024'!$A$2:$AO$2,0))</f>
        <v>-16734.309999999899</v>
      </c>
      <c r="R15" s="351">
        <f>J15-O15</f>
        <v>0</v>
      </c>
      <c r="S15" s="372">
        <f>L15-Q15</f>
        <v>29249.479999999883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2</v>
      </c>
      <c r="P17" s="179">
        <f>IF(O17=0,0,Q17/O17)</f>
        <v>26.790000000000848</v>
      </c>
      <c r="Q17" s="180">
        <f t="array" ref="Q17">+INDEX('Réel 2024'!$A$2:$AO$501,MATCH($A17,'Réel 2024'!$A$2:$A$501,0),MATCH(Q$2,'Réel 2024'!$A$2:$AO$2,0))</f>
        <v>53.580000000001696</v>
      </c>
      <c r="R17" s="182">
        <f>J17-O17</f>
        <v>-2</v>
      </c>
      <c r="S17" s="345">
        <f>L17-Q17</f>
        <v>-53.580000000001696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1909.7846549970564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1997.6500000000015</v>
      </c>
      <c r="M19" s="182"/>
      <c r="N19" s="180">
        <f>L19-F19</f>
        <v>87.865345002945105</v>
      </c>
      <c r="O19" s="183"/>
      <c r="P19" s="179"/>
      <c r="Q19" s="180">
        <f t="array" ref="Q19">+INDEX('Réel 2024'!$A$2:$AO$501,MATCH($A19,'Réel 2024'!$A$2:$A$501,0),MATCH(Q$2,'Réel 2024'!$A$2:$AO$2,0))</f>
        <v>999</v>
      </c>
      <c r="R19" s="182">
        <f>O19-K19</f>
        <v>0</v>
      </c>
      <c r="S19" s="345">
        <f>L19-Q19</f>
        <v>998.65000000000146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525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-525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0</v>
      </c>
      <c r="S21" s="345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24150</v>
      </c>
      <c r="G22" s="223"/>
      <c r="H22" s="179"/>
      <c r="I22" s="179"/>
      <c r="J22" s="182"/>
      <c r="K22" s="179">
        <f>IF(J13=0,0,L22/(J13+J15))</f>
        <v>967.91666666666663</v>
      </c>
      <c r="L22" s="180">
        <f>-SUMIFS(BV_Data_An_Cour!$O:$O,BV_Data_An_Cour!$U:$U,$B22,BV_Data_An_Cour!$V:$V,$C22,BV_Data_An_Cour!$W:$W,L$2)</f>
        <v>11615</v>
      </c>
      <c r="M22" s="182"/>
      <c r="N22" s="180">
        <f>L22-F22</f>
        <v>-12535</v>
      </c>
      <c r="O22" s="182"/>
      <c r="P22" s="179"/>
      <c r="Q22" s="180">
        <f t="array" ref="Q22">+INDEX('Réel 2024'!$A$2:$AO$501,MATCH($A22,'Réel 2024'!$A$2:$A$501,0),MATCH(Q$2,'Réel 2024'!$A$2:$AO$2,0))</f>
        <v>50935.39</v>
      </c>
      <c r="R22" s="182">
        <f>O22-K22</f>
        <v>-967.91666666666663</v>
      </c>
      <c r="S22" s="345">
        <f>L22-Q22</f>
        <v>-39320.39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10080</v>
      </c>
      <c r="G23" s="223"/>
      <c r="H23" s="179"/>
      <c r="I23" s="179"/>
      <c r="J23" s="182"/>
      <c r="K23" s="179">
        <f>IF(J13=0,0,L23/(J13+J15))</f>
        <v>589.82083333333333</v>
      </c>
      <c r="L23" s="180">
        <f>-SUMIFS(BV_Data_An_Cour!$O:$O,BV_Data_An_Cour!$U:$U,$B23,BV_Data_An_Cour!$V:$V,$C23,BV_Data_An_Cour!$W:$W,L$2)</f>
        <v>7077.85</v>
      </c>
      <c r="M23" s="351"/>
      <c r="N23" s="180">
        <f>L23-F23</f>
        <v>-3002.1499999999996</v>
      </c>
      <c r="O23" s="182"/>
      <c r="P23" s="179"/>
      <c r="Q23" s="180">
        <f t="array" ref="Q23">+INDEX('Réel 2024'!$A$2:$AO$501,MATCH($A23,'Réel 2024'!$A$2:$A$501,0),MATCH(Q$2,'Réel 2024'!$A$2:$AO$2,0))</f>
        <v>15625.95</v>
      </c>
      <c r="R23" s="182">
        <f>O23-K23</f>
        <v>-589.82083333333333</v>
      </c>
      <c r="S23" s="345">
        <f>L23-Q23</f>
        <v>-8548.1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21</v>
      </c>
      <c r="E24" s="346">
        <f>IF(D24&lt;=0,0,F24/D24)</f>
        <v>1655</v>
      </c>
      <c r="F24" s="347">
        <f>F21+F22+F23</f>
        <v>34755</v>
      </c>
      <c r="G24" s="348"/>
      <c r="H24" s="346"/>
      <c r="I24" s="347"/>
      <c r="J24" s="348">
        <f>+J15+J13</f>
        <v>12</v>
      </c>
      <c r="K24" s="346">
        <f>IF(J24&lt;=0,0,L24/J24)</f>
        <v>1557.7375</v>
      </c>
      <c r="L24" s="347">
        <f>L21+L22+L23</f>
        <v>18692.849999999999</v>
      </c>
      <c r="M24" s="376">
        <f>J24-D24</f>
        <v>-9</v>
      </c>
      <c r="N24" s="347">
        <f>L24-F24</f>
        <v>-16062.150000000001</v>
      </c>
      <c r="O24" s="348">
        <f>+O15+O13</f>
        <v>35</v>
      </c>
      <c r="P24" s="346">
        <f>IF(O24&lt;=0,0,Q24/O24)</f>
        <v>1901.7525714285714</v>
      </c>
      <c r="Q24" s="347">
        <f>Q21+Q22+Q23</f>
        <v>66561.34</v>
      </c>
      <c r="R24" s="356"/>
      <c r="S24" s="349">
        <f>L24-Q24</f>
        <v>-47868.49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-0.4621536469572724</v>
      </c>
      <c r="O25" s="223"/>
      <c r="P25" s="178"/>
      <c r="Q25" s="225"/>
      <c r="R25" s="224"/>
      <c r="S25" s="262">
        <f>IF(Q24=0,0,(S24/Q24))</f>
        <v>-0.71916355650291897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21</v>
      </c>
      <c r="E27" s="27">
        <f>IF(D27&lt;=0,0,F27/D27)</f>
        <v>5383.9616419506419</v>
      </c>
      <c r="F27" s="28">
        <f>F13+F17+F24+F19+F15</f>
        <v>113063.19448096347</v>
      </c>
      <c r="G27" s="29"/>
      <c r="H27" s="30"/>
      <c r="I27" s="28"/>
      <c r="J27" s="29">
        <f>+J13+J15+J17</f>
        <v>12</v>
      </c>
      <c r="K27" s="30">
        <f>IF(J27&lt;=0,0,L27/J27)</f>
        <v>5719.382500000007</v>
      </c>
      <c r="L27" s="28">
        <f>L13+L17+L24+L19+L15</f>
        <v>68632.590000000084</v>
      </c>
      <c r="M27" s="29">
        <f>J27-D27</f>
        <v>-9</v>
      </c>
      <c r="N27" s="28">
        <f>L27-F27</f>
        <v>-44430.60448096339</v>
      </c>
      <c r="O27" s="29">
        <f>+O13+O15+O17</f>
        <v>37</v>
      </c>
      <c r="P27" s="30">
        <f>IF(O27&lt;=0,0,Q27/O27)</f>
        <v>5007.3524324324308</v>
      </c>
      <c r="Q27" s="28">
        <f>Q13+Q17+Q24+Q19+Q15</f>
        <v>185272.03999999995</v>
      </c>
      <c r="R27" s="29">
        <f>J27-O27</f>
        <v>-25</v>
      </c>
      <c r="S27" s="321">
        <f>L27-Q27</f>
        <v>-116639.44999999987</v>
      </c>
      <c r="T27" s="25"/>
      <c r="U27" s="25"/>
      <c r="V27" s="24" t="s">
        <v>2358</v>
      </c>
      <c r="W27" s="1180"/>
      <c r="X27" s="1155">
        <f>L27-W27</f>
        <v>68632.590000000084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-0.42857142857142855</v>
      </c>
      <c r="N28" s="34">
        <f>N27/F27</f>
        <v>-0.39297142350284647</v>
      </c>
      <c r="O28" s="31"/>
      <c r="P28" s="323"/>
      <c r="Q28" s="32"/>
      <c r="R28" s="33">
        <f>R27/O27</f>
        <v>-0.67567567567567566</v>
      </c>
      <c r="S28" s="259">
        <f>IF(Q27=0,0,S27/Q27)</f>
        <v>-0.62955775733888342</v>
      </c>
      <c r="T28" s="25"/>
      <c r="U28" s="25"/>
      <c r="V28" s="24"/>
      <c r="W28" s="1180"/>
      <c r="X28" s="1155">
        <f>J27-W28</f>
        <v>12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0.29015115608967729</v>
      </c>
      <c r="E31" s="195">
        <f t="shared" ref="E31:E36" si="9">F31/D$24</f>
        <v>1055.575568305577</v>
      </c>
      <c r="F31" s="179">
        <f>+INDEX('Budget original'!$A$2:$AO$501,MATCH($A31,'Budget original'!$A$2:$A$501,0),MATCH(F$2,'Budget original'!$A$2:$AO$2,0))</f>
        <v>22167.086934417115</v>
      </c>
      <c r="G31" s="293"/>
      <c r="H31" s="195"/>
      <c r="I31" s="179"/>
      <c r="J31" s="293">
        <f>L31/(L13+L15)</f>
        <v>0.28407564209236552</v>
      </c>
      <c r="K31" s="195">
        <f t="shared" ref="K31:K36" si="10">IF(L31=0,0,L31/J$24)</f>
        <v>1134.9316666666666</v>
      </c>
      <c r="L31" s="179">
        <f>SUMIFS(BV_Data_An_Cour!$O:$O,BV_Data_An_Cour!$U:$U,$B31,BV_Data_An_Cour!$V:$V,$C31,BV_Data_An_Cour!$W:$W,L$2)</f>
        <v>13619.18</v>
      </c>
      <c r="M31" s="223"/>
      <c r="N31" s="225">
        <f t="shared" ref="N31:N53" si="11">L31-F31</f>
        <v>-8547.9069344171148</v>
      </c>
      <c r="O31" s="293">
        <f>Q31/(Q13+Q15+Q17)</f>
        <v>0.39256386578394509</v>
      </c>
      <c r="P31" s="195">
        <f t="shared" ref="P31:P40" si="12">Q31/O$24</f>
        <v>1320.2674285714286</v>
      </c>
      <c r="Q31" s="180">
        <f t="array" ref="Q31">+INDEX('Réel 2024'!$A$2:$AO$501,MATCH($A31,'Réel 2024'!$A$2:$A$501,0),MATCH(Q$2,'Réel 2024'!$A$2:$AO$2,0))</f>
        <v>46209.36</v>
      </c>
      <c r="R31" s="223"/>
      <c r="S31" s="197">
        <f t="shared" ref="S31:S41" si="13">L31-Q31</f>
        <v>-32590.18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9557.625</v>
      </c>
      <c r="G32" s="320"/>
      <c r="H32" s="188"/>
      <c r="I32" s="177"/>
      <c r="J32" s="320">
        <f>L32/L24</f>
        <v>0.32525109868211644</v>
      </c>
      <c r="K32" s="358">
        <f t="shared" si="10"/>
        <v>506.65583333333331</v>
      </c>
      <c r="L32" s="177">
        <f>SUMIFS(BV_Data_An_Cour!$O:$O,BV_Data_An_Cour!$U:$U,$B32,BV_Data_An_Cour!$V:$V,$C32,BV_Data_An_Cour!$W:$W,L$2)</f>
        <v>6079.87</v>
      </c>
      <c r="M32" s="278"/>
      <c r="N32" s="279">
        <f t="shared" si="11"/>
        <v>-3477.7550000000001</v>
      </c>
      <c r="O32" s="320">
        <f>Q32/Q24</f>
        <v>0.421297407774543</v>
      </c>
      <c r="P32" s="358">
        <f t="shared" si="12"/>
        <v>801.2034285714285</v>
      </c>
      <c r="Q32" s="177">
        <f t="array" ref="Q32">+INDEX('Réel 2024'!$A$2:$AO$501,MATCH($A32,'Réel 2024'!$A$2:$A$501,0),MATCH(Q$2,'Réel 2024'!$A$2:$AO$2,0))</f>
        <v>28042.12</v>
      </c>
      <c r="R32" s="278"/>
      <c r="S32" s="200">
        <f t="shared" si="13"/>
        <v>-21962.25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2730</v>
      </c>
      <c r="G33" s="269"/>
      <c r="H33" s="195"/>
      <c r="I33" s="179"/>
      <c r="J33" s="223"/>
      <c r="K33" s="195">
        <f t="shared" si="10"/>
        <v>154.9675</v>
      </c>
      <c r="L33" s="179">
        <f>SUMIFS(BV_Data_An_Cour!$O:$O,BV_Data_An_Cour!$U:$U,$B33,BV_Data_An_Cour!$V:$V,$C33,BV_Data_An_Cour!$W:$W,L$2)</f>
        <v>1859.61</v>
      </c>
      <c r="M33" s="223"/>
      <c r="N33" s="225">
        <f t="shared" si="11"/>
        <v>-870.3900000000001</v>
      </c>
      <c r="O33" s="223"/>
      <c r="P33" s="195">
        <f t="shared" si="12"/>
        <v>67.887428571428572</v>
      </c>
      <c r="Q33" s="180">
        <f t="array" ref="Q33">+INDEX('Réel 2024'!$A$2:$AO$501,MATCH($A33,'Réel 2024'!$A$2:$A$501,0),MATCH(Q$2,'Réel 2024'!$A$2:$AO$2,0))</f>
        <v>2376.06</v>
      </c>
      <c r="R33" s="223"/>
      <c r="S33" s="197">
        <f t="shared" si="13"/>
        <v>-516.45000000000005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777</v>
      </c>
      <c r="G34" s="269"/>
      <c r="H34" s="195"/>
      <c r="I34" s="179"/>
      <c r="J34" s="223"/>
      <c r="K34" s="195">
        <f t="shared" si="10"/>
        <v>140.0025</v>
      </c>
      <c r="L34" s="179">
        <f>SUMIFS(BV_Data_An_Cour!$O:$O,BV_Data_An_Cour!$U:$U,$B34,BV_Data_An_Cour!$V:$V,$C34,BV_Data_An_Cour!$W:$W,L$2)</f>
        <v>1680.03</v>
      </c>
      <c r="M34" s="223"/>
      <c r="N34" s="225">
        <f t="shared" si="11"/>
        <v>903.03</v>
      </c>
      <c r="O34" s="223"/>
      <c r="P34" s="195">
        <f t="shared" si="12"/>
        <v>50.454571428571434</v>
      </c>
      <c r="Q34" s="180">
        <f t="array" ref="Q34">+INDEX('Réel 2024'!$A$2:$AO$501,MATCH($A34,'Réel 2024'!$A$2:$A$501,0),MATCH(Q$2,'Réel 2024'!$A$2:$AO$2,0))</f>
        <v>1765.91</v>
      </c>
      <c r="R34" s="223"/>
      <c r="S34" s="197">
        <f t="shared" si="13"/>
        <v>-85.880000000000109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62.142857142857146</v>
      </c>
      <c r="F35" s="177">
        <f>+INDEX('Budget original'!$A$2:$AO$501,MATCH($A35,'Budget original'!$A$2:$A$501,0),MATCH(F$2,'Budget original'!$A$2:$AO$2,0))</f>
        <v>1305</v>
      </c>
      <c r="G35" s="277"/>
      <c r="H35" s="188"/>
      <c r="I35" s="177"/>
      <c r="J35" s="278"/>
      <c r="K35" s="358">
        <f t="shared" si="10"/>
        <v>197.07833333333335</v>
      </c>
      <c r="L35" s="177">
        <f>SUMIFS(BV_Data_An_Cour!$O:$O,BV_Data_An_Cour!$U:$U,$B35,BV_Data_An_Cour!$V:$V,$C35,BV_Data_An_Cour!$W:$W,L$2)</f>
        <v>2364.94</v>
      </c>
      <c r="M35" s="278"/>
      <c r="N35" s="279">
        <f t="shared" si="11"/>
        <v>1059.94</v>
      </c>
      <c r="O35" s="278"/>
      <c r="P35" s="358">
        <f t="shared" si="12"/>
        <v>70.689428571428579</v>
      </c>
      <c r="Q35" s="180">
        <f t="array" ref="Q35">+INDEX('Réel 2024'!$A$2:$AO$501,MATCH($A35,'Réel 2024'!$A$2:$A$501,0),MATCH(Q$2,'Réel 2024'!$A$2:$AO$2,0))</f>
        <v>2474.13</v>
      </c>
      <c r="R35" s="278"/>
      <c r="S35" s="200">
        <f t="shared" si="13"/>
        <v>-109.19000000000005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10793.382352941177</v>
      </c>
      <c r="G36" s="269"/>
      <c r="H36" s="195"/>
      <c r="I36" s="179"/>
      <c r="J36" s="223"/>
      <c r="K36" s="195">
        <f t="shared" si="10"/>
        <v>824.43333333333339</v>
      </c>
      <c r="L36" s="546">
        <f>SUMIFS(BV_Data_An_Cour!$O:$O,BV_Data_An_Cour!$U:$U,$B36,BV_Data_An_Cour!$V:$V,$C36,BV_Data_An_Cour!$W:$W,L$2)</f>
        <v>9893.2000000000007</v>
      </c>
      <c r="M36" s="178"/>
      <c r="N36" s="225">
        <f t="shared" si="11"/>
        <v>-900.18235294117585</v>
      </c>
      <c r="O36" s="223"/>
      <c r="P36" s="195">
        <f t="shared" si="12"/>
        <v>338.08399999999716</v>
      </c>
      <c r="Q36" s="374">
        <f t="array" ref="Q36">+INDEX('Réel 2024'!$A$2:$AO$501,MATCH($A36,'Réel 2024'!$A$2:$A$501,0),MATCH(Q$2,'Réel 2024'!$A$2:$AO$2,0))</f>
        <v>11832.9399999999</v>
      </c>
      <c r="R36" s="223"/>
      <c r="S36" s="197">
        <f t="shared" si="13"/>
        <v>-1939.7399999998997</v>
      </c>
      <c r="T36" s="25"/>
      <c r="U36" s="25"/>
      <c r="V36" s="24"/>
      <c r="W36" s="101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1149.0993430023393</v>
      </c>
      <c r="F37" s="179">
        <f>+INDEX('Budget original'!$A$2:$AO$501,MATCH($A37,'Budget original'!$A$2:$A$501,0),MATCH(F$2,'Budget original'!$A$2:$AO$2,0))</f>
        <v>24131.086203049126</v>
      </c>
      <c r="G37" s="269"/>
      <c r="H37" s="195"/>
      <c r="I37" s="179"/>
      <c r="J37" s="223"/>
      <c r="K37" s="195">
        <f>IF(L37=0,0,L37/J$24)</f>
        <v>1893.1933333333334</v>
      </c>
      <c r="L37" s="547">
        <f>SUMIFS(BV_Data_An_Cour!$O:$O,BV_Data_An_Cour!$U:$U,$B37,BV_Data_An_Cour!$V:$V,$C37,BV_Data_An_Cour!$W:$W,L$2)</f>
        <v>22718.32</v>
      </c>
      <c r="M37" s="178"/>
      <c r="N37" s="225">
        <f t="shared" si="11"/>
        <v>-1412.7662030491265</v>
      </c>
      <c r="O37" s="223"/>
      <c r="P37" s="195">
        <f t="shared" si="12"/>
        <v>986.47199999999987</v>
      </c>
      <c r="Q37" s="180">
        <f t="array" ref="Q37">+INDEX('Réel 2024'!$A$2:$AO$501,MATCH($A37,'Réel 2024'!$A$2:$A$501,0),MATCH(Q$2,'Réel 2024'!$A$2:$AO$2,0))</f>
        <v>34526.519999999997</v>
      </c>
      <c r="R37" s="223"/>
      <c r="S37" s="197">
        <f>L37-Q37</f>
        <v>-11808.199999999997</v>
      </c>
      <c r="T37" s="25"/>
      <c r="U37" s="25"/>
      <c r="V37" s="1015">
        <v>22718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0.6320463597235384</v>
      </c>
      <c r="F41" s="41">
        <f>SUM(F31:F40)</f>
        <v>71461.180490407423</v>
      </c>
      <c r="G41" s="42"/>
      <c r="H41" s="40"/>
      <c r="I41" s="41"/>
      <c r="J41" s="42" t="s">
        <v>108</v>
      </c>
      <c r="K41" s="40">
        <f>L41/L$27</f>
        <v>0.84821438328350907</v>
      </c>
      <c r="L41" s="41">
        <f>SUM(L31:L40)</f>
        <v>58215.15</v>
      </c>
      <c r="M41" s="505"/>
      <c r="N41" s="41">
        <f t="shared" si="11"/>
        <v>-13246.030490407422</v>
      </c>
      <c r="O41" s="42" t="s">
        <v>108</v>
      </c>
      <c r="P41" s="40">
        <f>Q41/Q$27</f>
        <v>0.68670394086447106</v>
      </c>
      <c r="Q41" s="504">
        <f>SUM(Q31:Q40)</f>
        <v>127227.03999999989</v>
      </c>
      <c r="R41" s="44"/>
      <c r="S41" s="285">
        <f t="shared" si="13"/>
        <v>-69011.889999999898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12192.601724137932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10612.95</v>
      </c>
      <c r="M42" s="223"/>
      <c r="N42" s="225">
        <f t="shared" si="11"/>
        <v>-1579.6517241379315</v>
      </c>
      <c r="O42" s="223"/>
      <c r="P42" s="178"/>
      <c r="Q42" s="180">
        <f t="array" ref="Q42">+INDEX('Réel 2024'!$A$2:$AO$501,MATCH($A42,'Réel 2024'!$A$2:$A$501,0),MATCH(Q$2,'Réel 2024'!$A$2:$AO$2,0))</f>
        <v>13561.95</v>
      </c>
      <c r="R42" s="223"/>
      <c r="S42" s="197">
        <f t="shared" ref="S42:S53" si="14">L42-Q42</f>
        <v>-2949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9074.1735632183918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8809.68</v>
      </c>
      <c r="M43" s="223"/>
      <c r="N43" s="225">
        <f t="shared" si="11"/>
        <v>-264.4935632183915</v>
      </c>
      <c r="O43" s="223"/>
      <c r="P43" s="178"/>
      <c r="Q43" s="180">
        <f t="array" ref="Q43">+INDEX('Réel 2024'!$A$2:$AO$501,MATCH($A43,'Réel 2024'!$A$2:$A$501,0),MATCH(Q$2,'Réel 2024'!$A$2:$AO$2,0))</f>
        <v>10795.04</v>
      </c>
      <c r="R43" s="223"/>
      <c r="S43" s="197">
        <f t="shared" si="14"/>
        <v>-1985.3600000000006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5460.6458980371081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6229.35</v>
      </c>
      <c r="M49" s="223"/>
      <c r="N49" s="225">
        <f t="shared" si="11"/>
        <v>768.70410196289231</v>
      </c>
      <c r="O49" s="223"/>
      <c r="P49" s="178"/>
      <c r="Q49" s="177">
        <f t="array" ref="Q49">+INDEX('Réel 2024'!$A$2:$AO$501,MATCH($A49,'Réel 2024'!$A$2:$A$501,0),MATCH(Q$2,'Réel 2024'!$A$2:$AO$2,0))</f>
        <v>6518.5</v>
      </c>
      <c r="R49" s="223"/>
      <c r="S49" s="197">
        <f t="shared" si="14"/>
        <v>-289.14999999999964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6914.8396426230784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2828.19</v>
      </c>
      <c r="M50" s="273"/>
      <c r="N50" s="274">
        <f t="shared" si="11"/>
        <v>-4086.6496426230783</v>
      </c>
      <c r="O50" s="273"/>
      <c r="P50" s="271"/>
      <c r="Q50" s="180">
        <f t="array" ref="Q50">+INDEX('Réel 2024'!$A$2:$AO$501,MATCH($A50,'Réel 2024'!$A$2:$A$501,0),MATCH(Q$2,'Réel 2024'!$A$2:$AO$2,0))</f>
        <v>6563.34</v>
      </c>
      <c r="R50" s="273"/>
      <c r="S50" s="199">
        <f t="shared" si="14"/>
        <v>-3735.15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4154.8392702456267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3604.97</v>
      </c>
      <c r="M51" s="223"/>
      <c r="N51" s="225">
        <f t="shared" si="11"/>
        <v>-549.86927024562692</v>
      </c>
      <c r="O51" s="223"/>
      <c r="P51" s="178"/>
      <c r="Q51" s="180">
        <f t="array" ref="Q51">+INDEX('Réel 2024'!$A$2:$AO$501,MATCH($A51,'Réel 2024'!$A$2:$A$501,0),MATCH(Q$2,'Réel 2024'!$A$2:$AO$2,0))</f>
        <v>2314.0700000000002</v>
      </c>
      <c r="R51" s="223"/>
      <c r="S51" s="197">
        <f t="shared" si="14"/>
        <v>1290.8999999999996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890.32270076691987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395.57</v>
      </c>
      <c r="M52" s="223"/>
      <c r="N52" s="225">
        <f t="shared" si="11"/>
        <v>-494.75270076691987</v>
      </c>
      <c r="O52" s="223"/>
      <c r="P52" s="178"/>
      <c r="Q52" s="180">
        <f t="array" ref="Q52">+INDEX('Réel 2024'!$A$2:$AO$501,MATCH($A52,'Réel 2024'!$A$2:$A$501,0),MATCH(Q$2,'Réel 2024'!$A$2:$AO$2,0))</f>
        <v>157.28</v>
      </c>
      <c r="R52" s="223"/>
      <c r="S52" s="197">
        <f t="shared" si="14"/>
        <v>238.29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0.34520007132471797</v>
      </c>
      <c r="F54" s="41">
        <f>+SUM(F42:F53)</f>
        <v>39029.422799029053</v>
      </c>
      <c r="G54" s="42"/>
      <c r="H54" s="40"/>
      <c r="I54" s="41"/>
      <c r="J54" s="42" t="s">
        <v>108</v>
      </c>
      <c r="K54" s="40">
        <f>L54/L$27</f>
        <v>0.47823796246069056</v>
      </c>
      <c r="L54" s="41">
        <f>+SUM(L42:L53)</f>
        <v>32822.710000000006</v>
      </c>
      <c r="M54" s="44"/>
      <c r="N54" s="41">
        <f>+SUM(N42:N53)</f>
        <v>-6206.7127990290555</v>
      </c>
      <c r="O54" s="42" t="s">
        <v>108</v>
      </c>
      <c r="P54" s="40">
        <f>Q54/Q$27</f>
        <v>0.21725987364310348</v>
      </c>
      <c r="Q54" s="41">
        <f>+SUM(Q42:Q53)</f>
        <v>40252.18</v>
      </c>
      <c r="R54" s="44"/>
      <c r="S54" s="285">
        <f>+SUM(S42:S53)</f>
        <v>-7429.47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8798.8700000000008</v>
      </c>
      <c r="M57" s="278"/>
      <c r="N57" s="279">
        <f t="shared" si="15"/>
        <v>2177.9366666666683</v>
      </c>
      <c r="O57" s="278"/>
      <c r="P57" s="276"/>
      <c r="Q57" s="177">
        <f t="array" ref="Q57">+INDEX('Réel 2024'!$A$2:$AO$501,MATCH($A57,'Réel 2024'!$A$2:$A$501,0),MATCH(Q$2,'Réel 2024'!$A$2:$AO$2,0))</f>
        <v>9735.27</v>
      </c>
      <c r="R57" s="278"/>
      <c r="S57" s="200">
        <f t="shared" si="16"/>
        <v>-936.39999999999964</v>
      </c>
      <c r="T57" s="45"/>
      <c r="U57" s="25"/>
      <c r="V57" s="24" t="s">
        <v>2974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4705.18</v>
      </c>
      <c r="M58" s="223"/>
      <c r="N58" s="225">
        <f t="shared" si="15"/>
        <v>-173.11999999999989</v>
      </c>
      <c r="O58" s="223"/>
      <c r="P58" s="178"/>
      <c r="Q58" s="180">
        <f t="array" ref="Q58">+INDEX('Réel 2024'!$A$2:$AO$501,MATCH($A58,'Réel 2024'!$A$2:$A$501,0),MATCH(Q$2,'Réel 2024'!$A$2:$AO$2,0))</f>
        <v>4394.9399999999996</v>
      </c>
      <c r="R58" s="223"/>
      <c r="S58" s="197">
        <f t="shared" si="16"/>
        <v>310.24000000000069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1677.99</v>
      </c>
      <c r="M59" s="223"/>
      <c r="N59" s="225">
        <f t="shared" si="15"/>
        <v>852.99</v>
      </c>
      <c r="O59" s="223"/>
      <c r="P59" s="178"/>
      <c r="Q59" s="180">
        <f t="array" ref="Q59">+INDEX('Réel 2024'!$A$2:$AO$501,MATCH($A59,'Réel 2024'!$A$2:$A$501,0),MATCH(Q$2,'Réel 2024'!$A$2:$AO$2,0))</f>
        <v>1199.4000000000001</v>
      </c>
      <c r="R59" s="223"/>
      <c r="S59" s="197">
        <f t="shared" si="16"/>
        <v>478.58999999999992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4126.96</v>
      </c>
      <c r="M60" s="278"/>
      <c r="N60" s="279">
        <f t="shared" si="15"/>
        <v>812.25999999999976</v>
      </c>
      <c r="O60" s="278"/>
      <c r="P60" s="276"/>
      <c r="Q60" s="177">
        <f t="array" ref="Q60">+INDEX('Réel 2024'!$A$2:$AO$501,MATCH($A60,'Réel 2024'!$A$2:$A$501,0),MATCH(Q$2,'Réel 2024'!$A$2:$AO$2,0))</f>
        <v>3731.16</v>
      </c>
      <c r="R60" s="278"/>
      <c r="S60" s="200">
        <f t="shared" si="16"/>
        <v>395.80000000000018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385.2</v>
      </c>
      <c r="M61" s="223"/>
      <c r="N61" s="225">
        <f t="shared" si="15"/>
        <v>345.2</v>
      </c>
      <c r="O61" s="223"/>
      <c r="P61" s="178"/>
      <c r="Q61" s="180">
        <f t="array" ref="Q61">+INDEX('Réel 2024'!$A$2:$AO$501,MATCH($A61,'Réel 2024'!$A$2:$A$501,0),MATCH(Q$2,'Réel 2024'!$A$2:$AO$2,0))</f>
        <v>10.79</v>
      </c>
      <c r="R61" s="223"/>
      <c r="S61" s="197">
        <f t="shared" si="16"/>
        <v>374.40999999999997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611.08000000000004</v>
      </c>
      <c r="M63" s="223"/>
      <c r="N63" s="225">
        <f t="shared" si="15"/>
        <v>-97.669999999999959</v>
      </c>
      <c r="O63" s="223"/>
      <c r="P63" s="178"/>
      <c r="Q63" s="473">
        <f t="array" ref="Q63">+INDEX('Réel 2024'!$A$2:$AO$501,MATCH($A63,'Réel 2024'!$A$2:$A$501,0),MATCH(Q$2,'Réel 2024'!$A$2:$AO$2,0))</f>
        <v>802.33</v>
      </c>
      <c r="R63" s="223"/>
      <c r="S63" s="197">
        <f t="shared" si="16"/>
        <v>-191.25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204.52</v>
      </c>
      <c r="M64" s="223"/>
      <c r="N64" s="225">
        <f t="shared" si="15"/>
        <v>-5.8799999999999955</v>
      </c>
      <c r="O64" s="223"/>
      <c r="P64" s="178"/>
      <c r="Q64" s="180">
        <f t="array" ref="Q64">+INDEX('Réel 2024'!$A$2:$AO$501,MATCH($A64,'Réel 2024'!$A$2:$A$501,0),MATCH(Q$2,'Réel 2024'!$A$2:$AO$2,0))</f>
        <v>387.42</v>
      </c>
      <c r="R64" s="223"/>
      <c r="S64" s="197">
        <f t="shared" si="16"/>
        <v>-182.9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34.83</v>
      </c>
      <c r="M65" s="223"/>
      <c r="N65" s="225">
        <f t="shared" si="15"/>
        <v>-167.67000000000002</v>
      </c>
      <c r="O65" s="223"/>
      <c r="P65" s="178"/>
      <c r="Q65" s="180">
        <f t="array" ref="Q65">+INDEX('Réel 2024'!$A$2:$AO$501,MATCH($A65,'Réel 2024'!$A$2:$A$501,0),MATCH(Q$2,'Réel 2024'!$A$2:$AO$2,0))</f>
        <v>55.24</v>
      </c>
      <c r="R65" s="223"/>
      <c r="S65" s="197">
        <f t="shared" si="16"/>
        <v>-20.410000000000004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597.37</v>
      </c>
      <c r="M66" s="223"/>
      <c r="N66" s="225">
        <f t="shared" si="15"/>
        <v>-186.08000000000004</v>
      </c>
      <c r="O66" s="223"/>
      <c r="P66" s="178"/>
      <c r="Q66" s="180">
        <f t="array" ref="Q66">+INDEX('Réel 2024'!$A$2:$AO$501,MATCH($A66,'Réel 2024'!$A$2:$A$501,0),MATCH(Q$2,'Réel 2024'!$A$2:$AO$2,0))</f>
        <v>739.8</v>
      </c>
      <c r="R66" s="223"/>
      <c r="S66" s="197">
        <f t="shared" si="16"/>
        <v>-142.42999999999995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1076.6400000000001</v>
      </c>
      <c r="M67" s="223"/>
      <c r="N67" s="225">
        <f t="shared" si="15"/>
        <v>518.45649000000026</v>
      </c>
      <c r="O67" s="223"/>
      <c r="P67" s="178"/>
      <c r="Q67" s="180">
        <f t="array" ref="Q67">+INDEX('Réel 2024'!$A$2:$AO$501,MATCH($A67,'Réel 2024'!$A$2:$A$501,0),MATCH(Q$2,'Réel 2024'!$A$2:$AO$2,0))</f>
        <v>1301.5899999999999</v>
      </c>
      <c r="R67" s="223"/>
      <c r="S67" s="197">
        <f>L67-Q67</f>
        <v>-224.94999999999982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2870.8287847472384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4507.29</v>
      </c>
      <c r="M68" s="223"/>
      <c r="N68" s="225">
        <f t="shared" si="15"/>
        <v>1636.4612152527616</v>
      </c>
      <c r="O68" s="223"/>
      <c r="P68" s="178"/>
      <c r="Q68" s="180">
        <f t="array" ref="Q68">+INDEX('Réel 2024'!$A$2:$AO$501,MATCH($A68,'Réel 2024'!$A$2:$A$501,0),MATCH(Q$2,'Réel 2024'!$A$2:$AO$2,0))</f>
        <v>4789.05</v>
      </c>
      <c r="R68" s="223"/>
      <c r="S68" s="197">
        <f>L68-Q68</f>
        <v>-281.76000000000022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0.1861175577488535</v>
      </c>
      <c r="F72" s="41">
        <f>+SUM(F55:F71)</f>
        <v>21043.045628080574</v>
      </c>
      <c r="G72" s="42"/>
      <c r="H72" s="40"/>
      <c r="I72" s="41"/>
      <c r="J72" s="42" t="s">
        <v>108</v>
      </c>
      <c r="K72" s="40">
        <f>L72/L$27</f>
        <v>0.38940582017959646</v>
      </c>
      <c r="L72" s="41">
        <f>+SUM(L55:L71)</f>
        <v>26725.930000000004</v>
      </c>
      <c r="M72" s="44"/>
      <c r="N72" s="41">
        <f>+SUM(N55:N71)</f>
        <v>5682.8843719194292</v>
      </c>
      <c r="O72" s="42" t="s">
        <v>108</v>
      </c>
      <c r="P72" s="40">
        <f>Q72/Q$27</f>
        <v>0.14652502341961585</v>
      </c>
      <c r="Q72" s="41">
        <f>+SUM(Q55:Q71)</f>
        <v>27146.989999999998</v>
      </c>
      <c r="R72" s="44"/>
      <c r="S72" s="285">
        <f>+SUM(S55:S71)</f>
        <v>-421.05999999999887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1.1633639887971099</v>
      </c>
      <c r="F74" s="41">
        <f>F41+F54+F72</f>
        <v>131533.64891751704</v>
      </c>
      <c r="G74" s="42"/>
      <c r="H74" s="40"/>
      <c r="I74" s="41"/>
      <c r="J74" s="42" t="s">
        <v>108</v>
      </c>
      <c r="K74" s="40">
        <f>L74/L$27</f>
        <v>1.7158581659237961</v>
      </c>
      <c r="L74" s="41">
        <f>L41+L54+L72</f>
        <v>117763.79000000002</v>
      </c>
      <c r="M74" s="44"/>
      <c r="N74" s="46">
        <f t="shared" ref="N74:N82" si="17">L74-F74</f>
        <v>-13769.85891751702</v>
      </c>
      <c r="O74" s="42" t="s">
        <v>108</v>
      </c>
      <c r="P74" s="40">
        <f>Q74/Q$27</f>
        <v>1.0504888379271904</v>
      </c>
      <c r="Q74" s="41">
        <f>Q41+Q54+Q72</f>
        <v>194626.20999999988</v>
      </c>
      <c r="R74" s="44"/>
      <c r="S74" s="281">
        <f>L74-Q74</f>
        <v>-76862.419999999853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33242.068898181817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11409.6</v>
      </c>
      <c r="M75" s="223"/>
      <c r="N75" s="225">
        <f t="shared" si="17"/>
        <v>-21832.468898181818</v>
      </c>
      <c r="O75" s="223"/>
      <c r="P75" s="178"/>
      <c r="Q75" s="473">
        <f>+INDEX('Réel 2024'!$A$2:$AO$501,MATCH($A75,'Réel 2024'!$A$2:$A$501,0),MATCH(Q$2,'Réel 2024'!$A$2:$AO$2,0))</f>
        <v>53053.83</v>
      </c>
      <c r="R75" s="223"/>
      <c r="S75" s="197">
        <f>L75-Q75</f>
        <v>-41644.230000000003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35937.371781818183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31024</v>
      </c>
      <c r="M78" s="223"/>
      <c r="N78" s="225">
        <f t="shared" si="17"/>
        <v>-4913.3717818181831</v>
      </c>
      <c r="O78" s="223"/>
      <c r="P78" s="178"/>
      <c r="Q78" s="473">
        <f t="array" ref="Q78">+INDEX('Réel 2024'!$A$2:$AO$501,MATCH($A78,'Réel 2024'!$A$2:$A$501,0),MATCH(Q$2,'Réel 2024'!$A$2:$AO$2,0))</f>
        <v>76456</v>
      </c>
      <c r="R78" s="223"/>
      <c r="S78" s="197">
        <f t="shared" si="18"/>
        <v>-45432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12307.575000000001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7140</v>
      </c>
      <c r="M82" s="223"/>
      <c r="N82" s="225">
        <f t="shared" si="17"/>
        <v>-5167.5750000000007</v>
      </c>
      <c r="O82" s="223"/>
      <c r="P82" s="178"/>
      <c r="Q82" s="473">
        <f t="array" ref="Q82">+INDEX('Réel 2024'!$A$2:$AO$501,MATCH($A82,'Réel 2024'!$A$2:$A$501,0),MATCH(Q$2,'Réel 2024'!$A$2:$AO$2,0))</f>
        <v>20825</v>
      </c>
      <c r="R82" s="223"/>
      <c r="S82" s="197">
        <f t="shared" si="18"/>
        <v>-13685</v>
      </c>
      <c r="T82" s="25"/>
      <c r="U82" s="25"/>
      <c r="V82" s="24">
        <f>L82/595</f>
        <v>12</v>
      </c>
      <c r="W82" s="1127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81487.015679999997</v>
      </c>
      <c r="G83" s="42"/>
      <c r="H83" s="40"/>
      <c r="I83" s="41"/>
      <c r="J83" s="42"/>
      <c r="K83" s="40"/>
      <c r="L83" s="41">
        <f>+SUM(L75:L82)</f>
        <v>49573.599999999999</v>
      </c>
      <c r="M83" s="44"/>
      <c r="N83" s="41">
        <f>+SUM(N75:N82)</f>
        <v>-31913.415680000002</v>
      </c>
      <c r="O83" s="42"/>
      <c r="P83" s="40"/>
      <c r="Q83" s="41">
        <f>+SUM(Q75:Q82)</f>
        <v>150334.83000000002</v>
      </c>
      <c r="R83" s="44"/>
      <c r="S83" s="285">
        <f>+SUM(S75:S82)</f>
        <v>-100761.23000000001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63016.561243446427</v>
      </c>
      <c r="G85" s="379"/>
      <c r="H85" s="309"/>
      <c r="I85" s="306"/>
      <c r="J85" s="379"/>
      <c r="K85" s="305"/>
      <c r="L85" s="306">
        <f>L27-L74+L83</f>
        <v>442.40000000005966</v>
      </c>
      <c r="M85" s="379"/>
      <c r="N85" s="306">
        <f>N27-N41-N54-N72+N83</f>
        <v>-62574.161243446346</v>
      </c>
      <c r="O85" s="379"/>
      <c r="P85" s="305"/>
      <c r="Q85" s="306">
        <f>Q27-Q74+Q83</f>
        <v>140980.66000000009</v>
      </c>
      <c r="R85" s="379"/>
      <c r="S85" s="310">
        <f>S27-S41-S54-S72+S83</f>
        <v>-140538.25999999998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300" t="s">
        <v>77</v>
      </c>
      <c r="E91" s="1301"/>
      <c r="F91" s="1302"/>
      <c r="G91" s="1303"/>
      <c r="H91" s="1301"/>
      <c r="I91" s="1302"/>
      <c r="J91" s="1303" t="s">
        <v>78</v>
      </c>
      <c r="K91" s="1301"/>
      <c r="L91" s="1302"/>
      <c r="M91" s="1303" t="s">
        <v>2442</v>
      </c>
      <c r="N91" s="1302"/>
      <c r="O91" s="1300" t="s">
        <v>79</v>
      </c>
      <c r="P91" s="1301"/>
      <c r="Q91" s="1302"/>
      <c r="R91" s="1304" t="s">
        <v>2446</v>
      </c>
      <c r="S91" s="1305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1345176.4705882352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1740009.0300000003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842711.86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3394.9200000000146</v>
      </c>
      <c r="L94" s="180">
        <f>-SUMIFS(BV_Data_An_Cour!$O:$O,BV_Data_An_Cour!$U:$U,$B94,BV_Data_An_Cour!$V:$V,$C94,BV_Data_An_Cour!$W:$W,$L2)</f>
        <v>13579.680000000058</v>
      </c>
      <c r="M94" s="182">
        <f>J94-D94</f>
        <v>-2</v>
      </c>
      <c r="N94" s="180">
        <f>L94-F94</f>
        <v>-220.3199999999415</v>
      </c>
      <c r="O94" s="182">
        <f t="array" ref="O94">+INDEX('Réel 2024'!$A$2:$AO$501,MATCH($A94,'Réel 2024'!$A$2:$A$501,0),MATCH(O$2,'Réel 2024'!$A$2:$AO$2,0))</f>
        <v>2</v>
      </c>
      <c r="P94" s="179">
        <f t="shared" ref="P94:P96" si="20">IF(O94=0,0,Q94/O94)</f>
        <v>1366.4749999999949</v>
      </c>
      <c r="Q94" s="180">
        <f t="array" ref="Q94">+INDEX('Réel 2024'!$A$2:$AO$501,MATCH($A94,'Réel 2024'!$A$2:$A$501,0),MATCH(Q$2,'Réel 2024'!$A$2:$AO$2,0))</f>
        <v>2732.9499999999898</v>
      </c>
      <c r="R94" s="182">
        <f>J94-O94</f>
        <v>2</v>
      </c>
      <c r="S94" s="345">
        <f>L94-Q94</f>
        <v>10846.730000000069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10</v>
      </c>
      <c r="K95" s="179">
        <f>IF(J95=0,0,L95/J95)</f>
        <v>1411.3990000000019</v>
      </c>
      <c r="L95" s="473">
        <f>-SUMIFS(BV_Data_An_Cour!$O:$O,BV_Data_An_Cour!$U:$U,$B95,BV_Data_An_Cour!$V:$V,$C95,BV_Data_An_Cour!$W:$W,$L2)</f>
        <v>14113.99000000002</v>
      </c>
      <c r="M95" s="182">
        <f>J95-D95</f>
        <v>4</v>
      </c>
      <c r="N95" s="180">
        <f>L95-F95</f>
        <v>4513.9900000000198</v>
      </c>
      <c r="O95" s="182">
        <f t="array" ref="O95">+INDEX('Réel 2024'!$A$2:$AO$501,MATCH($A95,'Réel 2024'!$A$2:$A$501,0),MATCH(O$2,'Réel 2024'!$A$2:$AO$2,0))</f>
        <v>2</v>
      </c>
      <c r="P95" s="179">
        <f t="shared" si="20"/>
        <v>1534.64</v>
      </c>
      <c r="Q95" s="473">
        <f t="array" ref="Q95">+INDEX('Réel 2024'!$A$2:$AO$501,MATCH($A95,'Réel 2024'!$A$2:$A$501,0),MATCH(Q$2,'Réel 2024'!$A$2:$AO$2,0))</f>
        <v>3069.28</v>
      </c>
      <c r="R95" s="182">
        <f>J95-O95</f>
        <v>8</v>
      </c>
      <c r="S95" s="345">
        <f>L95-Q95</f>
        <v>11044.710000000019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4</v>
      </c>
      <c r="K96" s="179">
        <f>IF(J96=0,0,L96/J96)</f>
        <v>2151.2624999999971</v>
      </c>
      <c r="L96" s="473">
        <f>-SUMIFS(BV_Data_An_Cour!$O:$O,BV_Data_An_Cour!$U:$U,$B96,BV_Data_An_Cour!$V:$V,$C96,BV_Data_An_Cour!$W:$W,$L2)</f>
        <v>8605.0499999999884</v>
      </c>
      <c r="M96" s="182">
        <f>J96-D96</f>
        <v>-2</v>
      </c>
      <c r="N96" s="180">
        <f>L96-F96</f>
        <v>-394.95000000001164</v>
      </c>
      <c r="O96" s="182">
        <f>+INDEX('Réel 2024'!$A$2:$AO$501,MATCH($A96,'Réel 2024'!$A$2:$A$501,0),MATCH(O$2,'Réel 2024'!$A$2:$AO$2,0))</f>
        <v>3</v>
      </c>
      <c r="P96" s="179">
        <f t="shared" si="20"/>
        <v>419.0699999999967</v>
      </c>
      <c r="Q96" s="473">
        <f>+INDEX('Réel 2024'!$A$2:$AO$501,MATCH($A96,'Réel 2024'!$A$2:$A$501,0),MATCH(Q$2,'Réel 2024'!$A$2:$AO$2,0))</f>
        <v>1257.20999999999</v>
      </c>
      <c r="R96" s="182">
        <f>J96-O96</f>
        <v>1</v>
      </c>
      <c r="S96" s="345">
        <f>L96-Q96</f>
        <v>7347.8399999999983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18</v>
      </c>
      <c r="K97" s="346">
        <f>IF(J97&lt;=0,0,L97/J97)</f>
        <v>2016.5955555555593</v>
      </c>
      <c r="L97" s="347">
        <f>+L94+L95+L96</f>
        <v>36298.720000000067</v>
      </c>
      <c r="M97" s="348">
        <f>J97-D97</f>
        <v>0</v>
      </c>
      <c r="N97" s="347">
        <f>L97-F97</f>
        <v>3898.7200000000666</v>
      </c>
      <c r="O97" s="348">
        <f>+O95+O94+O96</f>
        <v>7</v>
      </c>
      <c r="P97" s="346">
        <f>IF(O97=0,0,Q97/O97)</f>
        <v>1008.4914285714258</v>
      </c>
      <c r="Q97" s="347">
        <f>+Q94+Q95+Q96</f>
        <v>7059.4399999999805</v>
      </c>
      <c r="R97" s="348">
        <f>J97-O97</f>
        <v>11</v>
      </c>
      <c r="S97" s="349">
        <f>L97-Q97</f>
        <v>29239.280000000086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0</v>
      </c>
      <c r="N98" s="234">
        <f>N97/F97</f>
        <v>0.12033086419753292</v>
      </c>
      <c r="O98" s="223"/>
      <c r="P98" s="178"/>
      <c r="Q98" s="265"/>
      <c r="R98" s="235">
        <f>R97/O97</f>
        <v>1.5714285714285714</v>
      </c>
      <c r="S98" s="262">
        <f>IF(Q97=0,0,(S97/Q97))</f>
        <v>4.1418696100540791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17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5950</v>
      </c>
      <c r="G100" s="182"/>
      <c r="H100" s="179"/>
      <c r="I100" s="179"/>
      <c r="J100" s="182">
        <f>-SUMIFS(BV_Data_An_Cour!$O:$O,BV_Data_An_Cour!$U:$U,$B100,BV_Data_An_Cour!$V:$V,$C100,BV_Data_An_Cour!$W:$W,J$2)</f>
        <v>30</v>
      </c>
      <c r="K100" s="179">
        <f>IF(J100=0,0,L100/J100)</f>
        <v>297.97799999999893</v>
      </c>
      <c r="L100" s="180">
        <f>-SUMIFS(BV_Data_An_Cour!$O:$O,BV_Data_An_Cour!$U:$U,$B100,BV_Data_An_Cour!$V:$V,$C100,BV_Data_An_Cour!$W:$W,L$2)</f>
        <v>8939.3399999999674</v>
      </c>
      <c r="M100" s="182">
        <f>J100-D100</f>
        <v>13</v>
      </c>
      <c r="N100" s="180">
        <f>L100-F100</f>
        <v>2989.3399999999674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1233.664</v>
      </c>
      <c r="Q100" s="180">
        <f t="array" ref="Q100">+INDEX('Réel 2024'!$A$2:$AO$501,MATCH($A100,'Réel 2024'!$A$2:$A$501,0),MATCH(Q$2,'Réel 2024'!$A$2:$AO$2,0))</f>
        <v>24673.279999999999</v>
      </c>
      <c r="R100" s="182">
        <f>J100-O100</f>
        <v>10</v>
      </c>
      <c r="S100" s="345">
        <f>L100-Q100</f>
        <v>-15733.940000000031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63.36</v>
      </c>
      <c r="L102" s="180">
        <f>-SUMIFS(BV_Data_An_Cour!$O:$O,BV_Data_An_Cour!$U:$U,$B102,BV_Data_An_Cour!$V:$V,$C102,BV_Data_An_Cour!$W:$W,$L2)</f>
        <v>1140.48</v>
      </c>
      <c r="M102" s="182"/>
      <c r="N102" s="180">
        <f>L102-F102</f>
        <v>-5699.52</v>
      </c>
      <c r="O102" s="182"/>
      <c r="P102" s="179"/>
      <c r="Q102" s="180">
        <f t="array" ref="Q102">+INDEX('Réel 2024'!$A$2:$AO$501,MATCH($A102,'Réel 2024'!$A$2:$A$501,0),MATCH(Q$2,'Réel 2024'!$A$2:$AO$2,0))</f>
        <v>1425.11</v>
      </c>
      <c r="R102" s="182">
        <f>O102-K102</f>
        <v>-63.36</v>
      </c>
      <c r="S102" s="345">
        <f>L102-Q102</f>
        <v>-284.62999999999988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465.005</v>
      </c>
      <c r="L103" s="180">
        <f>-SUMIFS(BV_Data_An_Cour!$O:$O,BV_Data_An_Cour!$U:$U,$B103,BV_Data_An_Cour!$V:$V,$C103,BV_Data_An_Cour!$W:$W,$L2)</f>
        <v>8370.09</v>
      </c>
      <c r="M103" s="182"/>
      <c r="N103" s="180">
        <f>L103-F103</f>
        <v>-6929.91</v>
      </c>
      <c r="O103" s="182"/>
      <c r="P103" s="179"/>
      <c r="Q103" s="180">
        <f t="array" ref="Q103">+INDEX('Réel 2024'!$A$2:$AO$501,MATCH($A103,'Réel 2024'!$A$2:$A$501,0),MATCH(Q$2,'Réel 2024'!$A$2:$AO$2,0))</f>
        <v>9518</v>
      </c>
      <c r="R103" s="182">
        <f>O103-K103</f>
        <v>-465.005</v>
      </c>
      <c r="S103" s="345">
        <f>L103-Q103</f>
        <v>-1147.9099999999999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132.88888888888889</v>
      </c>
      <c r="L104" s="180">
        <f>-SUMIFS(BV_Data_An_Cour!$O:$O,BV_Data_An_Cour!$U:$U,$B104,BV_Data_An_Cour!$V:$V,$C104,BV_Data_An_Cour!$W:$W,$L$2)</f>
        <v>2392</v>
      </c>
      <c r="M104" s="351"/>
      <c r="N104" s="180">
        <f>L104-F104</f>
        <v>-1568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-132.88888888888889</v>
      </c>
      <c r="S104" s="345">
        <f>L104-Q104</f>
        <v>747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18</v>
      </c>
      <c r="K105" s="346">
        <f>IF(J105&lt;=0,0,L105/J105)</f>
        <v>661.25388888888892</v>
      </c>
      <c r="L105" s="347">
        <f>L102+L103+L104</f>
        <v>11902.57</v>
      </c>
      <c r="M105" s="182">
        <f>J105-D105</f>
        <v>0</v>
      </c>
      <c r="N105" s="347">
        <f>L105-F105</f>
        <v>-14197.43</v>
      </c>
      <c r="O105" s="348">
        <f>O97</f>
        <v>7</v>
      </c>
      <c r="P105" s="346">
        <f t="shared" ref="P105" si="23">IF(O105=0,0,Q105/O105)</f>
        <v>1798.3014285714287</v>
      </c>
      <c r="Q105" s="347">
        <f>Q102+Q103+Q104</f>
        <v>12588.11</v>
      </c>
      <c r="R105" s="356"/>
      <c r="S105" s="349">
        <f>L105-Q105</f>
        <v>-685.54000000000087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-0.54396283524904221</v>
      </c>
      <c r="O106" s="223"/>
      <c r="P106" s="178"/>
      <c r="Q106" s="225"/>
      <c r="R106" s="224"/>
      <c r="S106" s="262">
        <f>IF(Q105=0,0,(S105/Q105))</f>
        <v>-5.4459327095171622E-2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35</v>
      </c>
      <c r="E108" s="30">
        <f>IF(D108&lt;=0,0,F108/D108)</f>
        <v>1841.4285714285713</v>
      </c>
      <c r="F108" s="28">
        <f>F97+F105+F100</f>
        <v>64450</v>
      </c>
      <c r="G108" s="29"/>
      <c r="H108" s="30"/>
      <c r="I108" s="28"/>
      <c r="J108" s="29">
        <f>J97+J100</f>
        <v>48</v>
      </c>
      <c r="K108" s="30">
        <f>IF(J108&lt;=0,0,L108/J108)</f>
        <v>1190.4297916666674</v>
      </c>
      <c r="L108" s="28">
        <f>L97+L105+L100</f>
        <v>57140.630000000034</v>
      </c>
      <c r="M108" s="29">
        <f>J108-D108</f>
        <v>13</v>
      </c>
      <c r="N108" s="28">
        <f>L108-F108</f>
        <v>-7309.3699999999662</v>
      </c>
      <c r="O108" s="29">
        <f>O97+O100</f>
        <v>27</v>
      </c>
      <c r="P108" s="30">
        <f>IF(O108&lt;=0,0,Q108/O108)</f>
        <v>1641.5122222222215</v>
      </c>
      <c r="Q108" s="28">
        <f>Q97+Q105+Q100</f>
        <v>44320.82999999998</v>
      </c>
      <c r="R108" s="29">
        <f>J108-O108</f>
        <v>21</v>
      </c>
      <c r="S108" s="321">
        <f>L108-Q108</f>
        <v>12819.800000000054</v>
      </c>
      <c r="T108" s="25"/>
      <c r="U108" s="25"/>
      <c r="V108" s="24" t="s">
        <v>2358</v>
      </c>
      <c r="W108" s="1180"/>
      <c r="X108" s="1155">
        <f>L108-W108</f>
        <v>57140.630000000034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0.37142857142857144</v>
      </c>
      <c r="N109" s="34">
        <f>N108/F108</f>
        <v>-0.11341148176881251</v>
      </c>
      <c r="O109" s="31"/>
      <c r="P109" s="323"/>
      <c r="Q109" s="32"/>
      <c r="R109" s="33">
        <f>O108/R108</f>
        <v>1.2857142857142858</v>
      </c>
      <c r="S109" s="357">
        <f>IF(Q108=0,0,(S108/Q108))</f>
        <v>0.28924999825138786</v>
      </c>
      <c r="T109" s="25"/>
      <c r="U109" s="25"/>
      <c r="V109" s="25"/>
      <c r="W109" s="1181"/>
      <c r="X109" s="1179">
        <f>J97-W109</f>
        <v>18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0.18999377803975503</v>
      </c>
      <c r="E112" s="195">
        <f t="shared" ref="E112:E121" si="24">F112/D$97</f>
        <v>617.47977862920391</v>
      </c>
      <c r="F112" s="179">
        <f>+INDEX('Budget original'!$A$2:$AO$501,MATCH($A112,'Budget original'!$A$2:$A$501,0),MATCH(F$2,'Budget original'!$A$2:$AO$2,0))</f>
        <v>11114.63601532567</v>
      </c>
      <c r="G112" s="293"/>
      <c r="H112" s="195"/>
      <c r="I112" s="179"/>
      <c r="J112" s="293">
        <f>L112/L97</f>
        <v>0.25792286890556976</v>
      </c>
      <c r="K112" s="195">
        <f>IF($J$97=0,0,L112/(J$94+J$95+J96))</f>
        <v>520.12611111111119</v>
      </c>
      <c r="L112" s="180">
        <f>SUMIFS(BV_Data_An_Cour!$O:$O,BV_Data_An_Cour!$U:$U,$B112,BV_Data_An_Cour!$V:$V,$C112,BV_Data_An_Cour!$W:$W,$L$2)</f>
        <v>9362.27</v>
      </c>
      <c r="M112" s="223"/>
      <c r="N112" s="225">
        <f t="shared" ref="N112:N153" si="25">L112-F112</f>
        <v>-1752.3660153256697</v>
      </c>
      <c r="O112" s="293">
        <f>Q112/Q97</f>
        <v>0.82817333952835004</v>
      </c>
      <c r="P112" s="195">
        <f t="shared" ref="P112:P121" si="26">Q112/O$97</f>
        <v>835.20571428571418</v>
      </c>
      <c r="Q112" s="180">
        <f t="array" ref="Q112">+INDEX('Réel 2024'!$A$2:$AO$501,MATCH($A112,'Réel 2024'!$A$2:$A$501,0),MATCH(Q$2,'Réel 2024'!$A$2:$AO$2,0))</f>
        <v>5846.44</v>
      </c>
      <c r="R112" s="223"/>
      <c r="S112" s="197">
        <f t="shared" ref="S112:S122" si="27">L112-Q112</f>
        <v>3515.8300000000008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0.25624973873976237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0.18382416570538967</v>
      </c>
      <c r="K113" s="358">
        <f>IF($J$97=0,0,L113/(J$94+J$95+J96))</f>
        <v>121.55444444444444</v>
      </c>
      <c r="L113" s="180">
        <f>SUMIFS(BV_Data_An_Cour!$O:$O,BV_Data_An_Cour!$U:$U,$B113,BV_Data_An_Cour!$V:$V,$C113,BV_Data_An_Cour!$W:$W,$L$2)</f>
        <v>2187.98</v>
      </c>
      <c r="M113" s="278"/>
      <c r="N113" s="279">
        <f t="shared" si="25"/>
        <v>-4989.5200000000004</v>
      </c>
      <c r="O113" s="320">
        <f>Q113/(Q105+Q19)</f>
        <v>0.3260847965461382</v>
      </c>
      <c r="P113" s="358">
        <f t="shared" si="26"/>
        <v>632.93571428571431</v>
      </c>
      <c r="Q113" s="180">
        <f t="array" ref="Q113">+INDEX('Réel 2024'!$A$2:$AO$501,MATCH($A113,'Réel 2024'!$A$2:$A$501,0),MATCH(Q$2,'Réel 2024'!$A$2:$AO$2,0))</f>
        <v>4430.55</v>
      </c>
      <c r="R113" s="278"/>
      <c r="S113" s="200">
        <f t="shared" si="27"/>
        <v>-2242.5700000000002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58.51166666666667</v>
      </c>
      <c r="L114" s="181">
        <f>SUMIFS(BV_Data_An_Cour!$O:$O,BV_Data_An_Cour!$U:$U,$B114,BV_Data_An_Cour!$V:$V,$C114,BV_Data_An_Cour!$W:$W,$L$2)</f>
        <v>1053.21</v>
      </c>
      <c r="M114" s="223"/>
      <c r="N114" s="225">
        <f t="shared" si="25"/>
        <v>-566.79</v>
      </c>
      <c r="O114" s="223"/>
      <c r="P114" s="195">
        <f t="shared" si="26"/>
        <v>218.22285714285712</v>
      </c>
      <c r="Q114" s="181">
        <f t="array" ref="Q114">+INDEX('Réel 2024'!$A$2:$AO$501,MATCH($A114,'Réel 2024'!$A$2:$A$501,0),MATCH(Q$2,'Réel 2024'!$A$2:$AO$2,0))</f>
        <v>1527.56</v>
      </c>
      <c r="R114" s="223"/>
      <c r="S114" s="197">
        <f t="shared" si="27"/>
        <v>-474.34999999999991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75.811666666666667</v>
      </c>
      <c r="L115" s="180">
        <f>SUMIFS(BV_Data_An_Cour!$O:$O,BV_Data_An_Cour!$U:$U,$B115,BV_Data_An_Cour!$V:$V,$C115,BV_Data_An_Cour!$W:$W,$L$2)</f>
        <v>1364.61</v>
      </c>
      <c r="M115" s="223"/>
      <c r="N115" s="225">
        <f t="shared" si="25"/>
        <v>-327.3900000000001</v>
      </c>
      <c r="O115" s="223"/>
      <c r="P115" s="195">
        <f t="shared" si="26"/>
        <v>305.24714285714288</v>
      </c>
      <c r="Q115" s="180">
        <f t="array" ref="Q115">+INDEX('Réel 2024'!$A$2:$AO$501,MATCH($A115,'Réel 2024'!$A$2:$A$501,0),MATCH(Q$2,'Réel 2024'!$A$2:$AO$2,0))</f>
        <v>2136.73</v>
      </c>
      <c r="R115" s="223"/>
      <c r="S115" s="197">
        <f t="shared" si="27"/>
        <v>-772.12000000000012</v>
      </c>
      <c r="T115" s="25"/>
      <c r="U115" s="25"/>
      <c r="V115" s="764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134.88499999999999</v>
      </c>
      <c r="L116" s="350">
        <f>SUMIFS(BV_Data_An_Cour!$O:$O,BV_Data_An_Cour!$U:$U,$B116,BV_Data_An_Cour!$V:$V,$C116,BV_Data_An_Cour!$W:$W,$L$2)</f>
        <v>2427.9299999999998</v>
      </c>
      <c r="M116" s="278"/>
      <c r="N116" s="279">
        <f t="shared" si="25"/>
        <v>547.92999999999984</v>
      </c>
      <c r="O116" s="278"/>
      <c r="P116" s="358">
        <f t="shared" si="26"/>
        <v>259.76714285714286</v>
      </c>
      <c r="Q116" s="350">
        <f t="array" ref="Q116">+INDEX('Réel 2024'!$A$2:$AO$501,MATCH($A116,'Réel 2024'!$A$2:$A$501,0),MATCH(Q$2,'Réel 2024'!$A$2:$AO$2,0))</f>
        <v>1818.37</v>
      </c>
      <c r="R116" s="278"/>
      <c r="S116" s="200">
        <f t="shared" si="27"/>
        <v>609.55999999999995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315.96722222222223</v>
      </c>
      <c r="L117" s="180">
        <f>SUMIFS(BV_Data_An_Cour!$O:$O,BV_Data_An_Cour!$U:$U,$B117,BV_Data_An_Cour!$V:$V,$C117,BV_Data_An_Cour!$W:$W,$L$2)</f>
        <v>5687.41</v>
      </c>
      <c r="M117" s="223"/>
      <c r="N117" s="225">
        <f t="shared" si="25"/>
        <v>-1137.5900000000001</v>
      </c>
      <c r="O117" s="223"/>
      <c r="P117" s="195">
        <f t="shared" si="26"/>
        <v>1101.4585714285699</v>
      </c>
      <c r="Q117" s="180">
        <f t="array" ref="Q117">+INDEX('Réel 2024'!$A$2:$AO$501,MATCH($A117,'Réel 2024'!$A$2:$A$501,0),MATCH(Q$2,'Réel 2024'!$A$2:$AO$2,0))</f>
        <v>7710.20999999999</v>
      </c>
      <c r="R117" s="223"/>
      <c r="S117" s="197">
        <f t="shared" si="27"/>
        <v>-2022.7999999999902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236.60994535519123</v>
      </c>
      <c r="F118" s="179">
        <f>+INDEX('Budget original'!$A$2:$AO$501,MATCH($A118,'Budget original'!$A$2:$A$501,0),MATCH(F$2,'Budget original'!$A$2:$AO$2,0))</f>
        <v>4258.9790163934422</v>
      </c>
      <c r="G118" s="269"/>
      <c r="H118" s="195"/>
      <c r="I118" s="179"/>
      <c r="J118" s="223"/>
      <c r="K118" s="195">
        <f>IF($J$97=0,0,L118/(J$94+J$95+J96))</f>
        <v>187.81777777777776</v>
      </c>
      <c r="L118" s="180">
        <f>SUMIFS(BV_Data_An_Cour!$O:$O,BV_Data_An_Cour!$U:$U,$B118,BV_Data_An_Cour!$V:$V,$C118,BV_Data_An_Cour!$W:$W,$L$2)</f>
        <v>3380.72</v>
      </c>
      <c r="M118" s="223"/>
      <c r="N118" s="225">
        <f t="shared" si="25"/>
        <v>-878.25901639344238</v>
      </c>
      <c r="O118" s="223"/>
      <c r="P118" s="195">
        <f t="shared" si="26"/>
        <v>558.21857142857141</v>
      </c>
      <c r="Q118" s="180">
        <f t="array" ref="Q118">+INDEX('Réel 2024'!$A$2:$AO$501,MATCH($A118,'Réel 2024'!$A$2:$A$501,0),MATCH(Q$2,'Réel 2024'!$A$2:$AO$2,0))</f>
        <v>3907.53</v>
      </c>
      <c r="R118" s="223"/>
      <c r="S118" s="197">
        <f>L118-Q118</f>
        <v>-526.8100000000004</v>
      </c>
      <c r="T118" s="25"/>
      <c r="U118" s="25"/>
      <c r="V118" s="25">
        <v>3381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0.5363555474277597</v>
      </c>
      <c r="F122" s="41">
        <f>SUM(F112:F121)</f>
        <v>34568.115031719113</v>
      </c>
      <c r="G122" s="42"/>
      <c r="H122" s="40"/>
      <c r="I122" s="41"/>
      <c r="J122" s="42" t="s">
        <v>108</v>
      </c>
      <c r="K122" s="40">
        <f>L122/L$108</f>
        <v>0.44563964380511706</v>
      </c>
      <c r="L122" s="41">
        <f>SUM(L112:L121)</f>
        <v>25464.13</v>
      </c>
      <c r="M122" s="44"/>
      <c r="N122" s="41">
        <f t="shared" si="25"/>
        <v>-9103.9850317191122</v>
      </c>
      <c r="O122" s="42" t="s">
        <v>108</v>
      </c>
      <c r="P122" s="40">
        <f>Q122/Q$108</f>
        <v>0.61770932538943868</v>
      </c>
      <c r="Q122" s="41">
        <f>SUM(Q112:Q121)</f>
        <v>27377.389999999985</v>
      </c>
      <c r="R122" s="44"/>
      <c r="S122" s="285">
        <f t="shared" si="27"/>
        <v>-1913.2599999999838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4833.2201591511939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4619.41</v>
      </c>
      <c r="M123" s="223"/>
      <c r="N123" s="225">
        <f t="shared" si="25"/>
        <v>-213.81015915119406</v>
      </c>
      <c r="O123" s="223"/>
      <c r="P123" s="178"/>
      <c r="Q123" s="180">
        <f t="array" ref="Q123">+INDEX('Réel 2024'!$A$2:$AO$501,MATCH($A123,'Réel 2024'!$A$2:$A$501,0),MATCH(Q$2,'Réel 2024'!$A$2:$AO$2,0))</f>
        <v>4843.63</v>
      </c>
      <c r="R123" s="223"/>
      <c r="S123" s="197">
        <f t="shared" ref="S123:S134" si="29">L123-Q123</f>
        <v>-224.22000000000025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2615.1969348659004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2771.17</v>
      </c>
      <c r="M124" s="223"/>
      <c r="N124" s="225">
        <f t="shared" si="25"/>
        <v>155.97306513409967</v>
      </c>
      <c r="O124" s="223"/>
      <c r="P124" s="178"/>
      <c r="Q124" s="177">
        <f t="array" ref="Q124">+INDEX('Réel 2024'!$A$2:$AO$501,MATCH($A124,'Réel 2024'!$A$2:$A$501,0),MATCH(Q$2,'Réel 2024'!$A$2:$AO$2,0))</f>
        <v>3812.17</v>
      </c>
      <c r="R124" s="223"/>
      <c r="S124" s="197">
        <f t="shared" si="29"/>
        <v>-1041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2749.6622357559681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2882.43</v>
      </c>
      <c r="M130" s="223"/>
      <c r="N130" s="225">
        <f t="shared" si="25"/>
        <v>132.7677642440317</v>
      </c>
      <c r="O130" s="223"/>
      <c r="P130" s="178"/>
      <c r="Q130" s="180">
        <f t="array" ref="Q130">+INDEX('Réel 2024'!$A$2:$AO$501,MATCH($A130,'Réel 2024'!$A$2:$A$501,0),MATCH(Q$2,'Réel 2024'!$A$2:$AO$2,0))</f>
        <v>2451.91</v>
      </c>
      <c r="R130" s="223"/>
      <c r="S130" s="197">
        <f>L130-Q130</f>
        <v>430.52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3481.9092441909816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1515.95</v>
      </c>
      <c r="M131" s="273"/>
      <c r="N131" s="274">
        <f t="shared" si="25"/>
        <v>-1965.9592441909815</v>
      </c>
      <c r="O131" s="273"/>
      <c r="P131" s="271"/>
      <c r="Q131" s="374">
        <f t="array" ref="Q131">+INDEX('Réel 2024'!$A$2:$AO$501,MATCH($A131,'Réel 2024'!$A$2:$A$501,0),MATCH(Q$2,'Réel 2024'!$A$2:$AO$2,0))</f>
        <v>2303.4</v>
      </c>
      <c r="R131" s="273"/>
      <c r="S131" s="199">
        <f t="shared" si="29"/>
        <v>-787.45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2092.1343098143238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1671.57</v>
      </c>
      <c r="M132" s="223"/>
      <c r="N132" s="225">
        <f t="shared" si="25"/>
        <v>-420.56430981432391</v>
      </c>
      <c r="O132" s="223"/>
      <c r="P132" s="178"/>
      <c r="Q132" s="180">
        <f t="array" ref="Q132">+INDEX('Réel 2024'!$A$2:$AO$501,MATCH($A132,'Réel 2024'!$A$2:$A$501,0),MATCH(Q$2,'Réel 2024'!$A$2:$AO$2,0))</f>
        <v>1663.16</v>
      </c>
      <c r="R132" s="223"/>
      <c r="S132" s="197">
        <f t="shared" si="29"/>
        <v>8.4099999999998545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448.31449496021219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174.55</v>
      </c>
      <c r="M133" s="223"/>
      <c r="N133" s="225">
        <f t="shared" si="25"/>
        <v>-273.76449496021218</v>
      </c>
      <c r="O133" s="223"/>
      <c r="P133" s="178"/>
      <c r="Q133" s="180">
        <f t="array" ref="Q133">+INDEX('Réel 2024'!$A$2:$AO$501,MATCH($A133,'Réel 2024'!$A$2:$A$501,0),MATCH(Q$2,'Réel 2024'!$A$2:$AO$2,0))</f>
        <v>66.73</v>
      </c>
      <c r="R133" s="223"/>
      <c r="S133" s="197">
        <f t="shared" si="29"/>
        <v>107.82000000000001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0.29525891976320529</v>
      </c>
      <c r="F135" s="41">
        <f>+SUM(F123:F134)</f>
        <v>19029.437378738581</v>
      </c>
      <c r="G135" s="42"/>
      <c r="H135" s="40"/>
      <c r="I135" s="41"/>
      <c r="J135" s="42" t="s">
        <v>108</v>
      </c>
      <c r="K135" s="40">
        <f>L135/L$108</f>
        <v>0.28778261632747121</v>
      </c>
      <c r="L135" s="41">
        <f>SUM(L123:L134)</f>
        <v>16444.080000000002</v>
      </c>
      <c r="M135" s="1018"/>
      <c r="N135" s="1019">
        <f t="shared" si="25"/>
        <v>-2585.3573787385794</v>
      </c>
      <c r="O135" s="42" t="s">
        <v>108</v>
      </c>
      <c r="P135" s="40">
        <f>Q135/Q$108</f>
        <v>0.40500144063186561</v>
      </c>
      <c r="Q135" s="41">
        <f>+SUM(Q123:Q134)</f>
        <v>17950</v>
      </c>
      <c r="R135" s="43"/>
      <c r="S135" s="281">
        <f t="shared" ref="S135:S148" si="30">L135-Q135</f>
        <v>-1505.9199999999983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1099.56</v>
      </c>
      <c r="M138" s="278"/>
      <c r="N138" s="279">
        <f t="shared" si="25"/>
        <v>155.92666666666651</v>
      </c>
      <c r="O138" s="278"/>
      <c r="P138" s="276"/>
      <c r="Q138" s="177">
        <f t="array" ref="Q138">+INDEX('Réel 2024'!$A$2:$AO$501,MATCH($A138,'Réel 2024'!$A$2:$A$501,0),MATCH(Q$2,'Réel 2024'!$A$2:$AO$2,0))</f>
        <v>1118.01</v>
      </c>
      <c r="R138" s="278"/>
      <c r="S138" s="200">
        <f t="shared" si="30"/>
        <v>-18.450000000000045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1350.6</v>
      </c>
      <c r="M139" s="223"/>
      <c r="N139" s="225">
        <f t="shared" si="25"/>
        <v>-74.800000000000182</v>
      </c>
      <c r="O139" s="223"/>
      <c r="P139" s="178"/>
      <c r="Q139" s="180">
        <f t="array" ref="Q139">+INDEX('Réel 2024'!$A$2:$AO$501,MATCH($A139,'Réel 2024'!$A$2:$A$501,0),MATCH(Q$2,'Réel 2024'!$A$2:$AO$2,0))</f>
        <v>1497.55</v>
      </c>
      <c r="R139" s="223"/>
      <c r="S139" s="197">
        <f t="shared" si="30"/>
        <v>-146.95000000000005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220.84</v>
      </c>
      <c r="M140" s="223"/>
      <c r="N140" s="225">
        <f t="shared" si="25"/>
        <v>37.506666666666661</v>
      </c>
      <c r="O140" s="223"/>
      <c r="P140" s="178"/>
      <c r="Q140" s="180">
        <f t="array" ref="Q140">+INDEX('Réel 2024'!$A$2:$AO$501,MATCH($A140,'Réel 2024'!$A$2:$A$501,0),MATCH(Q$2,'Réel 2024'!$A$2:$AO$2,0))</f>
        <v>70.63</v>
      </c>
      <c r="R140" s="223"/>
      <c r="S140" s="197">
        <f t="shared" si="30"/>
        <v>150.21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956.72</v>
      </c>
      <c r="M141" s="278"/>
      <c r="N141" s="279">
        <f t="shared" si="25"/>
        <v>220.12</v>
      </c>
      <c r="O141" s="278"/>
      <c r="P141" s="276"/>
      <c r="Q141" s="177">
        <f t="array" ref="Q141">+INDEX('Réel 2024'!$A$2:$AO$501,MATCH($A141,'Réel 2024'!$A$2:$A$501,0),MATCH(Q$2,'Réel 2024'!$A$2:$AO$2,0))</f>
        <v>848.97</v>
      </c>
      <c r="R141" s="278"/>
      <c r="S141" s="200">
        <f t="shared" si="30"/>
        <v>107.75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2.4</v>
      </c>
      <c r="R142" s="223"/>
      <c r="S142" s="197">
        <f t="shared" si="30"/>
        <v>-2.4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135.80000000000001</v>
      </c>
      <c r="M144" s="223"/>
      <c r="N144" s="225">
        <f t="shared" si="25"/>
        <v>-21.699999999999989</v>
      </c>
      <c r="O144" s="223"/>
      <c r="P144" s="178"/>
      <c r="Q144" s="473">
        <f t="array" ref="Q144">+INDEX('Réel 2024'!$A$2:$AO$501,MATCH($A144,'Réel 2024'!$A$2:$A$501,0),MATCH(Q$2,'Réel 2024'!$A$2:$AO$2,0))</f>
        <v>306.95999999999998</v>
      </c>
      <c r="R144" s="223"/>
      <c r="S144" s="197">
        <f t="shared" si="30"/>
        <v>-171.15999999999997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65.12</v>
      </c>
      <c r="M145" s="223"/>
      <c r="N145" s="225">
        <f t="shared" si="25"/>
        <v>1.9200000000000017</v>
      </c>
      <c r="O145" s="223"/>
      <c r="P145" s="178"/>
      <c r="Q145" s="180">
        <f t="array" ref="Q145">+INDEX('Réel 2024'!$A$2:$AO$501,MATCH($A145,'Réel 2024'!$A$2:$A$501,0),MATCH(Q$2,'Réel 2024'!$A$2:$AO$2,0))</f>
        <v>118.1</v>
      </c>
      <c r="R145" s="223"/>
      <c r="S145" s="197">
        <f t="shared" si="30"/>
        <v>-52.97999999999999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169.18</v>
      </c>
      <c r="M146" s="223"/>
      <c r="N146" s="225">
        <f t="shared" si="25"/>
        <v>124.18</v>
      </c>
      <c r="O146" s="223"/>
      <c r="P146" s="178"/>
      <c r="Q146" s="180">
        <f t="array" ref="Q146">+INDEX('Réel 2024'!$A$2:$AO$501,MATCH($A146,'Réel 2024'!$A$2:$A$501,0),MATCH(Q$2,'Réel 2024'!$A$2:$AO$2,0))</f>
        <v>198.33</v>
      </c>
      <c r="R146" s="223"/>
      <c r="S146" s="197">
        <f t="shared" si="30"/>
        <v>-29.150000000000006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132.75</v>
      </c>
      <c r="M147" s="223"/>
      <c r="N147" s="225">
        <f t="shared" si="25"/>
        <v>-41.350000000000023</v>
      </c>
      <c r="O147" s="223"/>
      <c r="P147" s="178"/>
      <c r="Q147" s="180">
        <f t="array" ref="Q147">+INDEX('Réel 2024'!$A$2:$AO$501,MATCH($A147,'Réel 2024'!$A$2:$A$501,0),MATCH(Q$2,'Réel 2024'!$A$2:$AO$2,0))</f>
        <v>164.4</v>
      </c>
      <c r="R147" s="223"/>
      <c r="S147" s="197">
        <f t="shared" si="30"/>
        <v>-31.650000000000006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239.25</v>
      </c>
      <c r="M148" s="223"/>
      <c r="N148" s="225">
        <f t="shared" si="25"/>
        <v>115.20922000000002</v>
      </c>
      <c r="O148" s="223"/>
      <c r="P148" s="178"/>
      <c r="Q148" s="180">
        <f t="array" ref="Q148">+INDEX('Réel 2024'!$A$2:$AO$501,MATCH($A148,'Réel 2024'!$A$2:$A$501,0),MATCH(Q$2,'Réel 2024'!$A$2:$AO$2,0))</f>
        <v>-26.49</v>
      </c>
      <c r="R148" s="223"/>
      <c r="S148" s="197">
        <f t="shared" si="30"/>
        <v>265.74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637.96195216605292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1001.61</v>
      </c>
      <c r="M149" s="223"/>
      <c r="N149" s="225">
        <f t="shared" si="25"/>
        <v>363.64804783394709</v>
      </c>
      <c r="O149" s="223"/>
      <c r="P149" s="178"/>
      <c r="Q149" s="180">
        <f t="array" ref="Q149">+INDEX('Réel 2024'!$A$2:$AO$501,MATCH($A149,'Réel 2024'!$A$2:$A$501,0),MATCH(Q$2,'Réel 2024'!$A$2:$AO$2,0))</f>
        <v>1064.24</v>
      </c>
      <c r="R149" s="223"/>
      <c r="S149" s="197">
        <f>L149-Q149</f>
        <v>-62.629999999999995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7.0105033341081757E-2</v>
      </c>
      <c r="F153" s="41">
        <f>+SUM(F136:F152)</f>
        <v>4518.2693988327192</v>
      </c>
      <c r="G153" s="42"/>
      <c r="H153" s="40"/>
      <c r="I153" s="41"/>
      <c r="J153" s="42" t="s">
        <v>108</v>
      </c>
      <c r="K153" s="40">
        <f>L153/L$108</f>
        <v>9.4003688793770676E-2</v>
      </c>
      <c r="L153" s="41">
        <f>+SUM(L136:L152)</f>
        <v>5371.4299999999994</v>
      </c>
      <c r="M153" s="44"/>
      <c r="N153" s="41">
        <f t="shared" si="25"/>
        <v>853.16060116728022</v>
      </c>
      <c r="O153" s="42" t="s">
        <v>108</v>
      </c>
      <c r="P153" s="40">
        <f>Q153/Q$108</f>
        <v>0.12100630786923444</v>
      </c>
      <c r="Q153" s="41">
        <f>+SUM(Q136:Q152)</f>
        <v>5363.0999999999995</v>
      </c>
      <c r="R153" s="44"/>
      <c r="S153" s="285">
        <f>L153-Q153</f>
        <v>8.3299999999999272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0.90171950053204675</v>
      </c>
      <c r="F155" s="41">
        <f>F122+F135+F153</f>
        <v>58115.821809290414</v>
      </c>
      <c r="G155" s="42"/>
      <c r="H155" s="40"/>
      <c r="I155" s="41"/>
      <c r="J155" s="42" t="s">
        <v>108</v>
      </c>
      <c r="K155" s="40">
        <f>L155/L$108</f>
        <v>0.82742594892635901</v>
      </c>
      <c r="L155" s="41">
        <f>L122+L135+L153</f>
        <v>47279.640000000007</v>
      </c>
      <c r="M155" s="44"/>
      <c r="N155" s="46">
        <f t="shared" ref="N155:N162" si="31">L155-F155</f>
        <v>-10836.181809290407</v>
      </c>
      <c r="O155" s="42" t="s">
        <v>108</v>
      </c>
      <c r="P155" s="40">
        <f>Q155/Q$108</f>
        <v>1.1437170738905387</v>
      </c>
      <c r="Q155" s="41">
        <f>Q122+Q135+Q153</f>
        <v>50690.489999999983</v>
      </c>
      <c r="R155" s="44"/>
      <c r="S155" s="281">
        <f t="shared" ref="S155:S162" si="32">L155-Q155</f>
        <v>-3410.8499999999767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2250</v>
      </c>
      <c r="M156" s="223"/>
      <c r="N156" s="225">
        <f t="shared" si="31"/>
        <v>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-804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8330</v>
      </c>
      <c r="M159" s="223"/>
      <c r="N159" s="225">
        <f t="shared" si="31"/>
        <v>-559.29999999999927</v>
      </c>
      <c r="O159" s="223"/>
      <c r="P159" s="178"/>
      <c r="Q159" s="180">
        <f t="array" ref="Q159">+INDEX('Réel 2024'!$A$2:$AO$501,MATCH($A159,'Réel 2024'!$A$2:$A$501,0),MATCH(Q$2,'Réel 2024'!$A$2:$AO$2,0))</f>
        <v>4165</v>
      </c>
      <c r="R159" s="223"/>
      <c r="S159" s="197">
        <f t="shared" si="32"/>
        <v>4165</v>
      </c>
      <c r="T159" s="45"/>
      <c r="U159" s="25"/>
      <c r="V159" s="24">
        <f>L159/595</f>
        <v>14</v>
      </c>
      <c r="W159" s="1127">
        <f>V159/J97</f>
        <v>0.77777777777777779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10580</v>
      </c>
      <c r="M163" s="44"/>
      <c r="N163" s="41">
        <f>SUM(N156:N159)</f>
        <v>-1363.2999999999993</v>
      </c>
      <c r="O163" s="42"/>
      <c r="P163" s="40"/>
      <c r="Q163" s="41">
        <f>+SUM(Q156:Q162)</f>
        <v>4165</v>
      </c>
      <c r="R163" s="44"/>
      <c r="S163" s="285">
        <f>+SUM(S156:S162)</f>
        <v>6415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18277.478190709586</v>
      </c>
      <c r="G165" s="307"/>
      <c r="H165" s="305"/>
      <c r="I165" s="306"/>
      <c r="J165" s="308"/>
      <c r="K165" s="309"/>
      <c r="L165" s="306">
        <f>L108-L155+L163</f>
        <v>20440.990000000027</v>
      </c>
      <c r="M165" s="308"/>
      <c r="N165" s="306">
        <f>L165-F165</f>
        <v>2163.5118092904413</v>
      </c>
      <c r="O165" s="308"/>
      <c r="P165" s="309"/>
      <c r="Q165" s="306">
        <f>Q108-Q155+Q163</f>
        <v>-2204.6600000000035</v>
      </c>
      <c r="R165" s="308"/>
      <c r="S165" s="310">
        <f>L165-Q165</f>
        <v>22645.650000000031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300" t="s">
        <v>77</v>
      </c>
      <c r="E170" s="1301"/>
      <c r="F170" s="1302"/>
      <c r="G170" s="1303"/>
      <c r="H170" s="1301"/>
      <c r="I170" s="1302"/>
      <c r="J170" s="1303" t="s">
        <v>78</v>
      </c>
      <c r="K170" s="1301"/>
      <c r="L170" s="1302"/>
      <c r="M170" s="1303" t="s">
        <v>2442</v>
      </c>
      <c r="N170" s="1302"/>
      <c r="O170" s="1300" t="s">
        <v>79</v>
      </c>
      <c r="P170" s="1301"/>
      <c r="Q170" s="1302"/>
      <c r="R170" s="1304" t="s">
        <v>2446</v>
      </c>
      <c r="S170" s="1305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0">
        <f>+INDEX('Budget original'!$A$2:$AO$501,MATCH($A172,'Budget original'!$A$2:$A$501,0),MATCH(D$2,'Budget original'!$A$2:$AO$2,0))</f>
        <v>319.79118326427306</v>
      </c>
      <c r="E172" s="195">
        <f>+INDEX('Budget original'!$A$2:$AO$501,MATCH($A172,'Budget original'!$A$2:$A$501,0),MATCH(E$2,'Budget original'!$A$2:$AO$2,0))</f>
        <v>108729.00230985283</v>
      </c>
      <c r="F172" s="195">
        <f>+INDEX('Budget original'!$A$2:$AO$501,MATCH($A172,'Budget original'!$A$2:$A$501,0),MATCH(F$2,'Budget original'!$A$2:$AO$2,0))</f>
        <v>85243.537810924623</v>
      </c>
      <c r="G172" s="311"/>
      <c r="H172" s="195"/>
      <c r="I172" s="195"/>
      <c r="J172" s="224">
        <f>-SUMIFS(BV_Data_An_Cour!$O:$O,BV_Data_An_Cour!$U:$U,$B172,BV_Data_An_Cour!$V:$V,$C172,BV_Data_An_Cour!$W:$W,J$2)</f>
        <v>403</v>
      </c>
      <c r="K172" s="179">
        <f>-SUMIFS(BV_Data_An_Cour!$O:$O,BV_Data_An_Cour!$X:$X,"Oui",BV_Data_An_Cour!$U:$U,$B172,BV_Data_An_Cour!$V:$V,$C172)</f>
        <v>109912.62</v>
      </c>
      <c r="L172" s="180">
        <f>-SUMIFS(BV_Data_An_Cour!$O:$O,BV_Data_An_Cour!$U:$U,$B172,BV_Data_An_Cour!$V:$V,$C172,BV_Data_An_Cour!$W:$W,$L$2)</f>
        <v>86139.42</v>
      </c>
      <c r="M172" s="293">
        <f>(K172-E172)/E172</f>
        <v>1.0885942710796908E-2</v>
      </c>
      <c r="N172" s="225">
        <f>L172-F172</f>
        <v>895.88218907537521</v>
      </c>
      <c r="O172" s="224">
        <f t="array" ref="O172">+INDEX('Réel 2024'!$A$2:$AO$501,MATCH($A172,'Réel 2024'!$A$2:$A$501,0),MATCH(O$2,'Réel 2024'!$A$2:$AO$2,0))</f>
        <v>334</v>
      </c>
      <c r="P172" s="179">
        <f t="array" ref="P172">+INDEX('Réel 2024'!$A$2:$AO$501,MATCH($A172,'Réel 2024'!$A$2:$A$501,0),MATCH(P$2,'Réel 2024'!$A$2:$AO$2,0))</f>
        <v>102245.31</v>
      </c>
      <c r="Q172" s="180">
        <f t="array" ref="Q172">+INDEX('Réel 2024'!$A$2:$AO$501,MATCH($A172,'Réel 2024'!$A$2:$A$501,0),MATCH(Q$2,'Réel 2024'!$A$2:$AO$2,0))</f>
        <v>80750.669999999896</v>
      </c>
      <c r="R172" s="293">
        <f>IF(O172=0,0,J172/O172)</f>
        <v>1.2065868263473054</v>
      </c>
      <c r="S172" s="197">
        <f>L172-Q172</f>
        <v>5388.7500000001019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0.78370818564783551</v>
      </c>
      <c r="M173" s="293"/>
      <c r="N173" s="225"/>
      <c r="O173" s="224"/>
      <c r="P173" s="178"/>
      <c r="Q173" s="227">
        <f>Q172/P172</f>
        <v>0.78977382923480699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272.73602977667491</v>
      </c>
      <c r="L174" s="318"/>
      <c r="M174" s="320"/>
      <c r="N174" s="279"/>
      <c r="O174" s="302"/>
      <c r="P174" s="495">
        <f>IFERROR(P172/O172,0)</f>
        <v>306.12368263473053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2">
        <f>+INDEX('Budget original'!$A$2:$AO$501,MATCH($A175,'Budget original'!$A$2:$A$501,0),MATCH(D$2,'Budget original'!$A$2:$AO$2,0))</f>
        <v>165.11897702335153</v>
      </c>
      <c r="E175" s="195">
        <f>+INDEX('Budget original'!$A$2:$AO$501,MATCH($A175,'Budget original'!$A$2:$A$501,0),MATCH(E$2,'Budget original'!$A$2:$AO$2,0))</f>
        <v>24107.370645409326</v>
      </c>
      <c r="F175" s="195">
        <f>+INDEX('Budget original'!$A$2:$AO$501,MATCH($A175,'Budget original'!$A$2:$A$501,0),MATCH(F$2,'Budget original'!$A$2:$AO$2,0))</f>
        <v>15428.717213061969</v>
      </c>
      <c r="G175" s="314"/>
      <c r="H175" s="195"/>
      <c r="I175" s="195"/>
      <c r="J175" s="314">
        <f>-SUMIFS(BV_Data_An_Cour!$O:$O,BV_Data_An_Cour!$U:$U,$B175,BV_Data_An_Cour!$V:$V,$C175,BV_Data_An_Cour!$W:$W,J$2)</f>
        <v>198</v>
      </c>
      <c r="K175" s="186">
        <f>-SUMIFS(BV_Data_An_Cour!$O:$O,BV_Data_An_Cour!$X:$X,"Oui",BV_Data_An_Cour!$U:$U,$B175,BV_Data_An_Cour!$V:$V,$C175)</f>
        <v>28635.54</v>
      </c>
      <c r="L175" s="180">
        <f>-SUMIFS(BV_Data_An_Cour!$O:$O,BV_Data_An_Cour!$U:$U,$B175,BV_Data_An_Cour!$V:$V,$C175,BV_Data_An_Cour!$W:$W,$L$2)</f>
        <v>18463.02</v>
      </c>
      <c r="M175" s="293">
        <f>(K175-E175)/E175</f>
        <v>0.1878333983906684</v>
      </c>
      <c r="N175" s="274">
        <f>L175-F175</f>
        <v>3034.3027869380312</v>
      </c>
      <c r="O175" s="314">
        <f t="array" ref="O175">+INDEX('Réel 2024'!$A$2:$AO$501,MATCH($A175,'Réel 2024'!$A$2:$A$501,0),MATCH(O$2,'Réel 2024'!$A$2:$AO$2,0))</f>
        <v>168</v>
      </c>
      <c r="P175" s="186">
        <f t="array" ref="P175">+INDEX('Réel 2024'!$A$2:$AO$501,MATCH($A175,'Réel 2024'!$A$2:$A$501,0),MATCH(P$2,'Réel 2024'!$A$2:$AO$2,0))</f>
        <v>29558.97</v>
      </c>
      <c r="Q175" s="180">
        <f t="array" ref="Q175">+INDEX('Réel 2024'!$A$2:$AO$501,MATCH($A175,'Réel 2024'!$A$2:$A$501,0),MATCH(Q$2,'Réel 2024'!$A$2:$AO$2,0))</f>
        <v>19564.3999999999</v>
      </c>
      <c r="R175" s="293">
        <f>IF(O175=0,0,J175/O175)</f>
        <v>1.1785714285714286</v>
      </c>
      <c r="S175" s="197">
        <f>L175-Q175</f>
        <v>-1101.3799999998992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0.64475892544718905</v>
      </c>
      <c r="M176" s="235"/>
      <c r="N176" s="234"/>
      <c r="O176" s="223"/>
      <c r="P176" s="178"/>
      <c r="Q176" s="227">
        <f>Q175/P175</f>
        <v>0.66187691925665537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175.94625000000002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0">
        <f>+INDEX('Budget original'!$A$2:$AO$501,MATCH($A178,'Budget original'!$A$2:$A$501,0),MATCH(D$2,'Budget original'!$A$2:$AO$2,0))</f>
        <v>216.34458887598535</v>
      </c>
      <c r="E178" s="195">
        <f>+INDEX('Budget original'!$A$2:$AO$501,MATCH($A178,'Budget original'!$A$2:$A$501,0),MATCH(E$2,'Budget original'!$A$2:$AO$2,0))</f>
        <v>51922.701330236487</v>
      </c>
      <c r="F178" s="195">
        <f>+INDEX('Budget original'!$A$2:$AO$501,MATCH($A178,'Budget original'!$A$2:$A$501,0),MATCH(F$2,'Budget original'!$A$2:$AO$2,0))</f>
        <v>35047.823397909633</v>
      </c>
      <c r="G178" s="223"/>
      <c r="H178" s="195"/>
      <c r="I178" s="195"/>
      <c r="J178" s="224">
        <f>-SUMIFS(BV_Data_An_Cour!$O:$O,BV_Data_An_Cour!$U:$U,$B178,BV_Data_An_Cour!$V:$V,$C178,BV_Data_An_Cour!$W:$W,J$2)</f>
        <v>152</v>
      </c>
      <c r="K178" s="186">
        <f>-SUMIFS(BV_Data_An_Cour!$O:$O,BV_Data_An_Cour!$X:$X,"Oui",BV_Data_An_Cour!$U:$U,$B178,BV_Data_An_Cour!$V:$V,$C178)</f>
        <v>59224.63</v>
      </c>
      <c r="L178" s="180">
        <f>-SUMIFS(BV_Data_An_Cour!$O:$O,BV_Data_An_Cour!$U:$U,$B178,BV_Data_An_Cour!$V:$V,$C178,BV_Data_An_Cour!$W:$W,$L$2)</f>
        <v>44867.889999999992</v>
      </c>
      <c r="M178" s="293">
        <f>(K178-E178)/E178</f>
        <v>0.14063075461582988</v>
      </c>
      <c r="N178" s="225">
        <f>L178-F178</f>
        <v>9820.0666020903591</v>
      </c>
      <c r="O178" s="224">
        <f t="array" ref="O178">+INDEX('Réel 2024'!$A$2:$AO$501,MATCH($A178,'Réel 2024'!$A$2:$A$501,0),MATCH(O$2,'Réel 2024'!$A$2:$AO$2,0))</f>
        <v>193</v>
      </c>
      <c r="P178" s="186">
        <f t="array" ref="P178">+INDEX('Réel 2024'!$A$2:$AO$501,MATCH($A178,'Réel 2024'!$A$2:$A$501,0),MATCH(P$2,'Réel 2024'!$A$2:$AO$2,0))</f>
        <v>50906.729999999901</v>
      </c>
      <c r="Q178" s="180">
        <f t="array" ref="Q178">+INDEX('Réel 2024'!$A$2:$AO$501,MATCH($A178,'Réel 2024'!$A$2:$A$501,0),MATCH(Q$2,'Réel 2024'!$A$2:$AO$2,0))</f>
        <v>33664.799999999901</v>
      </c>
      <c r="R178" s="293">
        <f>IF(O178=0,0,J178/O178)</f>
        <v>0.78756476683937826</v>
      </c>
      <c r="S178" s="197">
        <f>L178-Q178</f>
        <v>11203.090000000091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0.7575883547098563</v>
      </c>
      <c r="M179" s="293"/>
      <c r="N179" s="225">
        <f>L179-F179</f>
        <v>8.258835470985626E-2</v>
      </c>
      <c r="O179" s="224"/>
      <c r="P179" s="226"/>
      <c r="Q179" s="227">
        <f>Q178/P178</f>
        <v>0.66130352509383272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263.76544041450728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2">
        <f>+INDEX('Budget original'!$A$2:$AO$501,MATCH($A181,'Budget original'!$A$2:$A$501,0),MATCH(D$2,'Budget original'!$A$2:$AO$2,0))</f>
        <v>67.699534983785327</v>
      </c>
      <c r="E181" s="195">
        <f>+INDEX('Budget original'!$A$2:$AO$501,MATCH($A181,'Budget original'!$A$2:$A$501,0),MATCH(E$2,'Budget original'!$A$2:$AO$2,0))</f>
        <v>13539.906996757065</v>
      </c>
      <c r="F181" s="195">
        <f>+INDEX('Budget original'!$A$2:$AO$501,MATCH($A181,'Budget original'!$A$2:$A$501,0),MATCH(F$2,'Budget original'!$A$2:$AO$2,0))</f>
        <v>5415.9627987028261</v>
      </c>
      <c r="G181" s="273"/>
      <c r="H181" s="195"/>
      <c r="I181" s="195"/>
      <c r="J181" s="314">
        <f>-SUMIFS(BV_Data_An_Cour!$O:$O,BV_Data_An_Cour!$U:$U,$B181,BV_Data_An_Cour!$V:$V,$C181,BV_Data_An_Cour!$W:$W,J$2)</f>
        <v>77</v>
      </c>
      <c r="K181" s="186">
        <f>-SUMIFS(BV_Data_An_Cour!$O:$O,BV_Data_An_Cour!$X:$X,"Oui",BV_Data_An_Cour!$U:$U,$B181,BV_Data_An_Cour!$V:$V,$C181)</f>
        <v>19154.560000000001</v>
      </c>
      <c r="L181" s="181">
        <f>-SUMIFS(BV_Data_An_Cour!$O:$O,BV_Data_An_Cour!$U:$U,$B181,BV_Data_An_Cour!$V:$V,$C181,BV_Data_An_Cour!$W:$W,$L$2)</f>
        <v>14421.500000000002</v>
      </c>
      <c r="M181" s="315">
        <f>IF(E181=0,0,(K181-E181)/E181)</f>
        <v>0.41467441427682616</v>
      </c>
      <c r="N181" s="274">
        <f>L181-F181</f>
        <v>9005.5372012971748</v>
      </c>
      <c r="O181" s="314">
        <f t="array" ref="O181">+INDEX('Réel 2024'!$A$2:$AO$501,MATCH($A181,'Réel 2024'!$A$2:$A$501,0),MATCH(O$2,'Réel 2024'!$A$2:$AO$2,0))</f>
        <v>59</v>
      </c>
      <c r="P181" s="186">
        <f t="array" ref="P181">+INDEX('Réel 2024'!$A$2:$AO$501,MATCH($A181,'Réel 2024'!$A$2:$A$501,0),MATCH(P$2,'Réel 2024'!$A$2:$AO$2,0))</f>
        <v>10564.15</v>
      </c>
      <c r="Q181" s="181">
        <f t="array" ref="Q181">+INDEX('Réel 2024'!$A$2:$AO$501,MATCH($A181,'Réel 2024'!$A$2:$A$501,0),MATCH(Q$2,'Réel 2024'!$A$2:$AO$2,0))</f>
        <v>3755.12</v>
      </c>
      <c r="R181" s="293">
        <f>IF(O181=0,0,J181/O181)</f>
        <v>1.3050847457627119</v>
      </c>
      <c r="S181" s="199">
        <f>L181-Q181</f>
        <v>10666.380000000001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0.75290165892612526</v>
      </c>
      <c r="M182" s="224">
        <f>J182-D182</f>
        <v>0</v>
      </c>
      <c r="N182" s="230"/>
      <c r="O182" s="228"/>
      <c r="P182" s="229"/>
      <c r="Q182" s="227">
        <f>IFERROR(Q181/P181,0)</f>
        <v>0.35545879223600574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179.05338983050848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-3643.3808555769469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-3306.25</v>
      </c>
      <c r="M184" s="228"/>
      <c r="N184" s="225">
        <f>L184-F184</f>
        <v>337.13085557694694</v>
      </c>
      <c r="O184" s="224"/>
      <c r="P184" s="195"/>
      <c r="Q184" s="195">
        <f t="array" ref="Q184">+INDEX('Réel 2024'!$A$2:$AO$501,MATCH($A184,'Réel 2024'!$A$2:$A$501,0),MATCH(Q$2,'Réel 2024'!$A$2:$AO$2,0))</f>
        <v>-1386.92</v>
      </c>
      <c r="R184" s="207"/>
      <c r="S184" s="197">
        <f>L184-Q184</f>
        <v>-1919.33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768.95428414739536</v>
      </c>
      <c r="E185" s="58">
        <f>E172+E175+E178+E181+E184</f>
        <v>198298.9812822557</v>
      </c>
      <c r="F185" s="59">
        <f>F172+F175+F178+F181+F184</f>
        <v>137492.66036502211</v>
      </c>
      <c r="G185" s="60"/>
      <c r="H185" s="58"/>
      <c r="I185" s="59"/>
      <c r="J185" s="60">
        <f>J172+J175+J178+J181+J184</f>
        <v>830</v>
      </c>
      <c r="K185" s="58">
        <f>K172+K175+K178+K181+K184</f>
        <v>216927.35</v>
      </c>
      <c r="L185" s="59">
        <f>L172+L175+L178+L181+L184</f>
        <v>160585.57999999999</v>
      </c>
      <c r="M185" s="61">
        <f>(K185-E185)/E185</f>
        <v>9.3940819046513274E-2</v>
      </c>
      <c r="N185" s="59">
        <f>L185-F185</f>
        <v>23092.919634977879</v>
      </c>
      <c r="O185" s="60">
        <f t="shared" ref="O185:Q185" si="34">O172+O175+O178+O181+O184</f>
        <v>754</v>
      </c>
      <c r="P185" s="58">
        <f t="shared" si="34"/>
        <v>193275.15999999989</v>
      </c>
      <c r="Q185" s="59">
        <f t="shared" si="34"/>
        <v>136348.06999999969</v>
      </c>
      <c r="R185" s="334">
        <f>IF(O185=0,0,J185/O185)</f>
        <v>1.1007957559681698</v>
      </c>
      <c r="S185" s="335">
        <f>L185-Q185</f>
        <v>24237.5100000003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0.69336039689138484</v>
      </c>
      <c r="G186" s="64"/>
      <c r="H186" s="62"/>
      <c r="I186" s="234"/>
      <c r="J186" s="64"/>
      <c r="K186" s="65">
        <f>IF(J185=0,0,K185/J185)</f>
        <v>261.35825301204818</v>
      </c>
      <c r="L186" s="234">
        <f>IF(L185=0,0,L185/K185)</f>
        <v>0.74027355241282389</v>
      </c>
      <c r="M186" s="64"/>
      <c r="N186" s="63">
        <f>N185/F185</f>
        <v>0.16795747186555041</v>
      </c>
      <c r="O186" s="64"/>
      <c r="P186" s="65">
        <f>IF(O185=0,0,P185/O185)</f>
        <v>256.33310344827572</v>
      </c>
      <c r="Q186" s="234">
        <f>Q185/P185</f>
        <v>0.705460908685833</v>
      </c>
      <c r="R186" s="64"/>
      <c r="S186" s="262">
        <f>IF(R185=0,0,S185/R185)</f>
        <v>22018.171734940031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10165.297149872033</v>
      </c>
      <c r="F188" s="195">
        <f>+INDEX('Budget original'!$A$2:$AO$501,MATCH($A188,'Budget original'!$A$2:$A$501,0),MATCH(F$2,'Budget original'!$A$2:$AO$2,0))</f>
        <v>1169.0091722352838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4466.7</v>
      </c>
      <c r="L188" s="180">
        <f>-SUMIFS(BV_Data_An_Cour!$O:$O,BV_Data_An_Cour!$U:$U,$B188,BV_Data_An_Cour!$V:$V,$C188,BV_Data_An_Cour!$W:$W,$L$2)</f>
        <v>564.6899999999996</v>
      </c>
      <c r="M188" s="447">
        <f>IF(E188=0,0,(K188-E188)/E188)</f>
        <v>-0.56059326804271237</v>
      </c>
      <c r="N188" s="225">
        <f>L188-F188</f>
        <v>-604.31917223528421</v>
      </c>
      <c r="O188" s="224"/>
      <c r="P188" s="179">
        <f t="array" ref="P188">+INDEX('Réel 2024'!$A$2:$AO$501,MATCH($A188,'Réel 2024'!$A$2:$A$501,0),MATCH(P$2,'Réel 2024'!$A$2:$AO$2,0))</f>
        <v>611.30999999999995</v>
      </c>
      <c r="Q188" s="180">
        <f t="array" ref="Q188">+INDEX('Réel 2024'!$A$2:$AO$501,MATCH($A188,'Réel 2024'!$A$2:$A$501,0),MATCH(Q$2,'Réel 2024'!$A$2:$AO$2,0))</f>
        <v>204.51</v>
      </c>
      <c r="R188" s="293">
        <f>IF(O188=0,0,J188/O188)</f>
        <v>0</v>
      </c>
      <c r="S188" s="197">
        <f>L188-Q188</f>
        <v>360.17999999999961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0.12642219087917245</v>
      </c>
      <c r="M189" s="228"/>
      <c r="N189" s="230"/>
      <c r="O189" s="228"/>
      <c r="P189" s="229"/>
      <c r="Q189" s="227">
        <f>IFERROR(Q188/P188,0)</f>
        <v>0.33454384845659324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208464.27843212773</v>
      </c>
      <c r="F194" s="28">
        <f>F185+F188+F191</f>
        <v>138661.6695372574</v>
      </c>
      <c r="G194" s="29"/>
      <c r="H194" s="26"/>
      <c r="I194" s="28"/>
      <c r="J194" s="29"/>
      <c r="K194" s="26">
        <f>K185+K188+K191</f>
        <v>221394.05000000002</v>
      </c>
      <c r="L194" s="28">
        <f>L185+L188+L191</f>
        <v>161150.26999999999</v>
      </c>
      <c r="M194" s="70">
        <f>L195-F195</f>
        <v>6.2730955375848385E-2</v>
      </c>
      <c r="N194" s="28">
        <f>L194-F194</f>
        <v>22488.600462742586</v>
      </c>
      <c r="O194" s="29"/>
      <c r="P194" s="26">
        <f t="shared" ref="P194:Q194" si="35">P185+P188+P191</f>
        <v>193886.46999999988</v>
      </c>
      <c r="Q194" s="28">
        <f t="shared" si="35"/>
        <v>136552.5799999997</v>
      </c>
      <c r="R194" s="70">
        <f>L195-Q195</f>
        <v>2.3597459075528571E-2</v>
      </c>
      <c r="S194" s="321">
        <f>L194-Q194</f>
        <v>24597.690000000293</v>
      </c>
      <c r="T194" s="231"/>
      <c r="U194" s="25"/>
      <c r="V194" s="24" t="s">
        <v>2358</v>
      </c>
      <c r="W194" s="1180"/>
      <c r="X194" s="1155">
        <f>L194-W194</f>
        <v>161150.26999999999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0.66515793775384491</v>
      </c>
      <c r="G195" s="31"/>
      <c r="H195" s="323"/>
      <c r="I195" s="34"/>
      <c r="J195" s="31"/>
      <c r="K195" s="323"/>
      <c r="L195" s="34">
        <f>L194/K194</f>
        <v>0.72788889312969329</v>
      </c>
      <c r="M195" s="33"/>
      <c r="N195" s="34">
        <f>N194/F194</f>
        <v>0.16218325177961354</v>
      </c>
      <c r="O195" s="31"/>
      <c r="P195" s="323"/>
      <c r="Q195" s="34">
        <f>Q194/P194</f>
        <v>0.70429143405416472</v>
      </c>
      <c r="R195" s="33"/>
      <c r="S195" s="259">
        <f>L194/S194</f>
        <v>6.5514391798578675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9996.9471117005596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11911.66</v>
      </c>
      <c r="M198" s="223"/>
      <c r="N198" s="225">
        <f t="shared" ref="N198:N229" si="36">L198-F198</f>
        <v>1914.7128882994402</v>
      </c>
      <c r="O198" s="223"/>
      <c r="P198" s="178"/>
      <c r="Q198" s="180">
        <f t="array" ref="Q198">+INDEX('Réel 2024'!$A$2:$AO$501,MATCH($A198,'Réel 2024'!$A$2:$A$501,0),MATCH(Q$2,'Réel 2024'!$A$2:$AO$2,0))</f>
        <v>11433.39</v>
      </c>
      <c r="R198" s="223"/>
      <c r="S198" s="197">
        <f t="shared" ref="S198:S228" si="37">L198-Q198</f>
        <v>478.27000000000044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5416.2078544061305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3465.26</v>
      </c>
      <c r="M199" s="223"/>
      <c r="N199" s="225">
        <f t="shared" si="36"/>
        <v>-1950.9478544061303</v>
      </c>
      <c r="O199" s="223"/>
      <c r="P199" s="178"/>
      <c r="Q199" s="180">
        <f t="array" ref="Q199">+INDEX('Réel 2024'!$A$2:$AO$501,MATCH($A199,'Réel 2024'!$A$2:$A$501,0),MATCH(Q$2,'Réel 2024'!$A$2:$AO$2,0))</f>
        <v>5254.98</v>
      </c>
      <c r="R199" s="223"/>
      <c r="S199" s="197">
        <f t="shared" si="37"/>
        <v>-1789.7199999999993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7605.9511717009709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11459.71</v>
      </c>
      <c r="M200" s="273"/>
      <c r="N200" s="274">
        <f t="shared" si="36"/>
        <v>3853.7588282990282</v>
      </c>
      <c r="O200" s="273"/>
      <c r="P200" s="271"/>
      <c r="Q200" s="181">
        <f t="array" ref="Q200">+INDEX('Réel 2024'!$A$2:$AO$501,MATCH($A200,'Réel 2024'!$A$2:$A$501,0),MATCH(Q$2,'Réel 2024'!$A$2:$AO$2,0))</f>
        <v>10033.18</v>
      </c>
      <c r="R200" s="273"/>
      <c r="S200" s="199">
        <f t="shared" si="37"/>
        <v>1426.5299999999988</v>
      </c>
      <c r="T200" s="25"/>
      <c r="U200" s="25"/>
      <c r="V200" s="764" t="s">
        <v>2960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13849.198777777778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18518</v>
      </c>
      <c r="M201" s="223"/>
      <c r="N201" s="225">
        <f t="shared" si="36"/>
        <v>4668.8012222222223</v>
      </c>
      <c r="O201" s="223"/>
      <c r="P201" s="178"/>
      <c r="Q201" s="180">
        <f t="array" ref="Q201">+INDEX('Réel 2024'!$A$2:$AO$501,MATCH($A201,'Réel 2024'!$A$2:$A$501,0),MATCH(Q$2,'Réel 2024'!$A$2:$AO$2,0))</f>
        <v>15341.02</v>
      </c>
      <c r="R201" s="223"/>
      <c r="S201" s="197">
        <f t="shared" si="37"/>
        <v>3176.9799999999996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8208.8618312749459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5447.87</v>
      </c>
      <c r="M205" s="223"/>
      <c r="N205" s="225">
        <f t="shared" si="36"/>
        <v>-2760.991831274946</v>
      </c>
      <c r="O205" s="223"/>
      <c r="P205" s="178"/>
      <c r="Q205" s="180">
        <f t="array" ref="Q205">+INDEX('Réel 2024'!$A$2:$AO$501,MATCH($A205,'Réel 2024'!$A$2:$A$501,0),MATCH(Q$2,'Réel 2024'!$A$2:$AO$2,0))</f>
        <v>6133.75</v>
      </c>
      <c r="R205" s="223"/>
      <c r="S205" s="197">
        <f>L205-Q205</f>
        <v>-685.88000000000011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10394.917427647079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10133.31</v>
      </c>
      <c r="M206" s="273"/>
      <c r="N206" s="274">
        <f t="shared" si="36"/>
        <v>-261.60742764707902</v>
      </c>
      <c r="O206" s="273"/>
      <c r="P206" s="271"/>
      <c r="Q206" s="181">
        <f t="array" ref="Q206">+INDEX('Réel 2024'!$A$2:$AO$501,MATCH($A206,'Réel 2024'!$A$2:$A$501,0),MATCH(Q$2,'Réel 2024'!$A$2:$AO$2,0))</f>
        <v>11073.56</v>
      </c>
      <c r="R206" s="273"/>
      <c r="S206" s="199">
        <f t="shared" si="37"/>
        <v>-940.25</v>
      </c>
      <c r="T206" s="25"/>
      <c r="U206" s="25"/>
      <c r="V206" s="764" t="s">
        <v>2960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6245.8731324918072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5918.95</v>
      </c>
      <c r="M207" s="223"/>
      <c r="N207" s="225">
        <f t="shared" si="36"/>
        <v>-326.92313249180734</v>
      </c>
      <c r="O207" s="223"/>
      <c r="P207" s="178"/>
      <c r="Q207" s="180">
        <f t="array" ref="Q207">+INDEX('Réel 2024'!$A$2:$AO$501,MATCH($A207,'Réel 2024'!$A$2:$A$501,0),MATCH(Q$2,'Réel 2024'!$A$2:$AO$2,0))</f>
        <v>3329.59</v>
      </c>
      <c r="R207" s="223"/>
      <c r="S207" s="197">
        <f t="shared" si="37"/>
        <v>2589.3599999999997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1338.4013855339585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1941.18</v>
      </c>
      <c r="M208" s="746"/>
      <c r="N208" s="194">
        <f t="shared" si="36"/>
        <v>602.77861446604152</v>
      </c>
      <c r="O208" s="746"/>
      <c r="P208" s="747"/>
      <c r="Q208" s="177">
        <f t="array" ref="Q208">+INDEX('Réel 2024'!$A$2:$AO$501,MATCH($A208,'Réel 2024'!$A$2:$A$501,0),MATCH(Q$2,'Réel 2024'!$A$2:$AO$2,0))</f>
        <v>1482.15</v>
      </c>
      <c r="R208" s="746"/>
      <c r="S208" s="748">
        <f t="shared" si="37"/>
        <v>459.03</v>
      </c>
      <c r="T208" s="25"/>
      <c r="U208" s="25"/>
      <c r="V208" s="25" t="s">
        <v>2960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0.45474974376816107</v>
      </c>
      <c r="F210" s="41">
        <f>+SUM(F198:F209)</f>
        <v>63056.358692533227</v>
      </c>
      <c r="G210" s="42"/>
      <c r="H210" s="40"/>
      <c r="I210" s="41"/>
      <c r="J210" s="42" t="s">
        <v>162</v>
      </c>
      <c r="K210" s="40">
        <f>L210/L$194</f>
        <v>0.42690552116356983</v>
      </c>
      <c r="L210" s="41">
        <f>+SUM(L198:L209)</f>
        <v>68795.939999999988</v>
      </c>
      <c r="M210" s="43"/>
      <c r="N210" s="46">
        <f t="shared" si="36"/>
        <v>5739.5813074667603</v>
      </c>
      <c r="O210" s="42" t="s">
        <v>162</v>
      </c>
      <c r="P210" s="40">
        <f>Q210/Q$194</f>
        <v>0.46928164960339924</v>
      </c>
      <c r="Q210" s="41">
        <f>+SUM(Q198:Q209)</f>
        <v>64081.62</v>
      </c>
      <c r="R210" s="43"/>
      <c r="S210" s="281">
        <f t="shared" si="37"/>
        <v>4714.3199999999852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6763.8677719094085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15095.15</v>
      </c>
      <c r="M211" s="223"/>
      <c r="N211" s="225">
        <f t="shared" si="36"/>
        <v>8331.2822280905912</v>
      </c>
      <c r="O211" s="223"/>
      <c r="P211" s="178"/>
      <c r="Q211" s="180">
        <f t="array" ref="Q211">+INDEX('Réel 2024'!$A$2:$AO$501,MATCH($A211,'Réel 2024'!$A$2:$A$501,0),MATCH(Q$2,'Réel 2024'!$A$2:$AO$2,0))</f>
        <v>13862.87</v>
      </c>
      <c r="R211" s="223"/>
      <c r="S211" s="197">
        <f t="shared" si="37"/>
        <v>1232.2799999999988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5473.3899999999994</v>
      </c>
      <c r="M212" s="223"/>
      <c r="N212" s="225">
        <f t="shared" si="36"/>
        <v>2715.0566666666659</v>
      </c>
      <c r="O212" s="223"/>
      <c r="P212" s="178"/>
      <c r="Q212" s="180">
        <f t="array" ref="Q212">+INDEX('Réel 2024'!$A$2:$AO$501,MATCH($A212,'Réel 2024'!$A$2:$A$501,0),MATCH(Q$2,'Réel 2024'!$A$2:$AO$2,0))</f>
        <v>3747.66</v>
      </c>
      <c r="R212" s="223"/>
      <c r="S212" s="197">
        <f t="shared" si="37"/>
        <v>1725.7299999999996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6592.8333333333339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7720</v>
      </c>
      <c r="M213" s="278"/>
      <c r="N213" s="279">
        <f t="shared" si="36"/>
        <v>1127.1666666666661</v>
      </c>
      <c r="O213" s="278"/>
      <c r="P213" s="276"/>
      <c r="Q213" s="180">
        <f t="array" ref="Q213">+INDEX('Réel 2024'!$A$2:$AO$501,MATCH($A213,'Réel 2024'!$A$2:$A$501,0),MATCH(Q$2,'Réel 2024'!$A$2:$AO$2,0))</f>
        <v>8311.58</v>
      </c>
      <c r="R213" s="278"/>
      <c r="S213" s="200">
        <f t="shared" si="37"/>
        <v>-591.57999999999993</v>
      </c>
      <c r="T213" s="178"/>
      <c r="U213" s="25"/>
      <c r="V213" s="764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5987.14</v>
      </c>
      <c r="M214" s="223"/>
      <c r="N214" s="225">
        <f t="shared" si="36"/>
        <v>-46.359999999999673</v>
      </c>
      <c r="O214" s="223"/>
      <c r="P214" s="178"/>
      <c r="Q214" s="181">
        <f t="array" ref="Q214">+INDEX('Réel 2024'!$A$2:$AO$501,MATCH($A214,'Réel 2024'!$A$2:$A$501,0),MATCH(Q$2,'Réel 2024'!$A$2:$AO$2,0))</f>
        <v>5624.18</v>
      </c>
      <c r="R214" s="223"/>
      <c r="S214" s="197">
        <f t="shared" si="37"/>
        <v>362.96000000000004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500.99</v>
      </c>
      <c r="M215" s="223"/>
      <c r="N215" s="225">
        <f t="shared" si="36"/>
        <v>42.656666666666695</v>
      </c>
      <c r="O215" s="223"/>
      <c r="P215" s="178"/>
      <c r="Q215" s="180">
        <f t="array" ref="Q215">+INDEX('Réel 2024'!$A$2:$AO$501,MATCH($A215,'Réel 2024'!$A$2:$A$501,0),MATCH(Q$2,'Réel 2024'!$A$2:$AO$2,0))</f>
        <v>491.23</v>
      </c>
      <c r="R215" s="223"/>
      <c r="S215" s="197">
        <f t="shared" si="37"/>
        <v>9.7599999999999909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2475.0100000000002</v>
      </c>
      <c r="M216" s="746"/>
      <c r="N216" s="194">
        <f t="shared" si="36"/>
        <v>-3166.49</v>
      </c>
      <c r="O216" s="746"/>
      <c r="P216" s="747"/>
      <c r="Q216" s="177">
        <f t="array" ref="Q216">+INDEX('Réel 2024'!$A$2:$AO$501,MATCH($A216,'Réel 2024'!$A$2:$A$501,0),MATCH(Q$2,'Réel 2024'!$A$2:$AO$2,0))</f>
        <v>8141.26</v>
      </c>
      <c r="R216" s="278"/>
      <c r="S216" s="200">
        <f t="shared" si="37"/>
        <v>-5666.25</v>
      </c>
      <c r="T216" s="178"/>
      <c r="U216" s="25"/>
      <c r="V216" s="764" t="s">
        <v>2972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3462.69</v>
      </c>
      <c r="M218" s="223"/>
      <c r="N218" s="225">
        <f t="shared" si="36"/>
        <v>2362.69</v>
      </c>
      <c r="O218" s="223"/>
      <c r="P218" s="178"/>
      <c r="Q218" s="180">
        <f t="array" ref="Q218">+INDEX('Réel 2024'!$A$2:$AO$501,MATCH($A218,'Réel 2024'!$A$2:$A$501,0),MATCH(Q$2,'Réel 2024'!$A$2:$AO$2,0))</f>
        <v>527.96</v>
      </c>
      <c r="R218" s="223"/>
      <c r="S218" s="197">
        <f t="shared" si="37"/>
        <v>2934.73</v>
      </c>
      <c r="T218" s="178"/>
      <c r="U218" s="25"/>
      <c r="V218" s="764" t="s">
        <v>2973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2583.73</v>
      </c>
      <c r="M219" s="223"/>
      <c r="N219" s="225">
        <f t="shared" si="36"/>
        <v>1583.73</v>
      </c>
      <c r="O219" s="223"/>
      <c r="P219" s="178"/>
      <c r="Q219" s="180">
        <f t="array" ref="Q219">+INDEX('Réel 2024'!$A$2:$AO$501,MATCH($A219,'Réel 2024'!$A$2:$A$501,0),MATCH(Q$2,'Réel 2024'!$A$2:$AO$2,0))</f>
        <v>2026.62</v>
      </c>
      <c r="R219" s="223"/>
      <c r="S219" s="197">
        <f t="shared" si="37"/>
        <v>557.11000000000013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339.49</v>
      </c>
      <c r="M220" s="223"/>
      <c r="N220" s="225">
        <f t="shared" si="36"/>
        <v>-54.259999999999991</v>
      </c>
      <c r="O220" s="223"/>
      <c r="P220" s="178"/>
      <c r="Q220" s="473">
        <f t="array" ref="Q220">+INDEX('Réel 2024'!$A$2:$AO$501,MATCH($A220,'Réel 2024'!$A$2:$A$501,0),MATCH(Q$2,'Réel 2024'!$A$2:$AO$2,0))</f>
        <v>278.7</v>
      </c>
      <c r="R220" s="223"/>
      <c r="S220" s="197">
        <f t="shared" si="37"/>
        <v>60.79000000000002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118.53</v>
      </c>
      <c r="M221" s="223"/>
      <c r="N221" s="225">
        <f t="shared" si="36"/>
        <v>-1.4699999999999989</v>
      </c>
      <c r="O221" s="223"/>
      <c r="P221" s="178"/>
      <c r="Q221" s="180">
        <f t="array" ref="Q221">+INDEX('Réel 2024'!$A$2:$AO$501,MATCH($A221,'Réel 2024'!$A$2:$A$501,0),MATCH(Q$2,'Réel 2024'!$A$2:$AO$2,0))</f>
        <v>277.70999999999998</v>
      </c>
      <c r="R221" s="223"/>
      <c r="S221" s="197">
        <f t="shared" si="37"/>
        <v>-159.17999999999998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43.25</v>
      </c>
      <c r="M222" s="223"/>
      <c r="N222" s="225">
        <f t="shared" si="36"/>
        <v>-69.25</v>
      </c>
      <c r="O222" s="223"/>
      <c r="P222" s="178"/>
      <c r="Q222" s="180">
        <f t="array" ref="Q222">+INDEX('Réel 2024'!$A$2:$AO$501,MATCH($A222,'Réel 2024'!$A$2:$A$501,0),MATCH(Q$2,'Réel 2024'!$A$2:$AO$2,0))</f>
        <v>292.77999999999997</v>
      </c>
      <c r="R222" s="223"/>
      <c r="S222" s="197">
        <f t="shared" si="37"/>
        <v>-249.52999999999997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331.87</v>
      </c>
      <c r="M223" s="223"/>
      <c r="N223" s="225">
        <f t="shared" si="36"/>
        <v>-103.38</v>
      </c>
      <c r="O223" s="223"/>
      <c r="P223" s="178"/>
      <c r="Q223" s="180">
        <f t="array" ref="Q223">+INDEX('Réel 2024'!$A$2:$AO$501,MATCH($A223,'Réel 2024'!$A$2:$A$501,0),MATCH(Q$2,'Réel 2024'!$A$2:$AO$2,0))</f>
        <v>369.91</v>
      </c>
      <c r="R223" s="223"/>
      <c r="S223" s="197">
        <f t="shared" si="37"/>
        <v>-38.04000000000002</v>
      </c>
      <c r="T223" s="25"/>
      <c r="U223" s="25"/>
      <c r="V223" s="101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1048.1300000000001</v>
      </c>
      <c r="M224" s="223"/>
      <c r="N224" s="225">
        <f t="shared" si="36"/>
        <v>-595.58528333333334</v>
      </c>
      <c r="O224" s="223"/>
      <c r="P224" s="178"/>
      <c r="Q224" s="180">
        <f t="array" ref="Q224">+INDEX('Réel 2024'!$A$2:$AO$501,MATCH($A224,'Réel 2024'!$A$2:$A$501,0),MATCH(Q$2,'Réel 2024'!$A$2:$AO$2,0))</f>
        <v>1253.26</v>
      </c>
      <c r="R224" s="223"/>
      <c r="S224" s="197">
        <f t="shared" si="37"/>
        <v>-205.12999999999988</v>
      </c>
      <c r="T224" s="25"/>
      <c r="U224" s="25"/>
      <c r="V224" s="764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1594.9048804151323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2504.06</v>
      </c>
      <c r="M225" s="223"/>
      <c r="N225" s="225">
        <f t="shared" si="36"/>
        <v>909.15511958486763</v>
      </c>
      <c r="O225" s="223"/>
      <c r="P225" s="178"/>
      <c r="Q225" s="180">
        <f t="array" ref="Q225">+INDEX('Réel 2024'!$A$2:$AO$501,MATCH($A225,'Réel 2024'!$A$2:$A$501,0),MATCH(Q$2,'Réel 2024'!$A$2:$AO$2,0))</f>
        <v>2394.5300000000002</v>
      </c>
      <c r="R225" s="223"/>
      <c r="S225" s="197">
        <f t="shared" si="37"/>
        <v>109.52999999999975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0.24987790823006117</v>
      </c>
      <c r="F229" s="41">
        <f>+SUM(F211:F228)</f>
        <v>34648.487935657875</v>
      </c>
      <c r="G229" s="42"/>
      <c r="H229" s="40"/>
      <c r="I229" s="41"/>
      <c r="J229" s="42" t="s">
        <v>162</v>
      </c>
      <c r="K229" s="40">
        <f>L229/L$194</f>
        <v>0.29589419862591609</v>
      </c>
      <c r="L229" s="41">
        <f>+SUM(L211:L228)</f>
        <v>47683.43</v>
      </c>
      <c r="M229" s="44"/>
      <c r="N229" s="41">
        <f t="shared" si="36"/>
        <v>13034.942064342125</v>
      </c>
      <c r="O229" s="42" t="s">
        <v>162</v>
      </c>
      <c r="P229" s="40">
        <f>Q229/Q$194</f>
        <v>0.34858550457267162</v>
      </c>
      <c r="Q229" s="41">
        <f>+SUM(Q211:Q228)</f>
        <v>47600.25</v>
      </c>
      <c r="R229" s="44"/>
      <c r="S229" s="285">
        <f>L229-Q229</f>
        <v>83.180000000000291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0.70462765199822219</v>
      </c>
      <c r="F231" s="41">
        <f>F210+F229</f>
        <v>97704.846628191095</v>
      </c>
      <c r="G231" s="42"/>
      <c r="H231" s="40"/>
      <c r="I231" s="41"/>
      <c r="J231" s="42" t="s">
        <v>108</v>
      </c>
      <c r="K231" s="40">
        <f>L231/L$194</f>
        <v>0.72279971978948598</v>
      </c>
      <c r="L231" s="41">
        <f>L210+L229</f>
        <v>116479.37</v>
      </c>
      <c r="M231" s="44"/>
      <c r="N231" s="46">
        <f>L231-F231</f>
        <v>18774.5233718089</v>
      </c>
      <c r="O231" s="42" t="s">
        <v>108</v>
      </c>
      <c r="P231" s="40">
        <f>Q231/Q$194</f>
        <v>0.81786715417607081</v>
      </c>
      <c r="Q231" s="41">
        <f>Q210+Q229</f>
        <v>111681.87</v>
      </c>
      <c r="R231" s="44"/>
      <c r="S231" s="281">
        <f>L231-Q231</f>
        <v>4797.5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40956.822909066308</v>
      </c>
      <c r="G233" s="307"/>
      <c r="H233" s="305"/>
      <c r="I233" s="306"/>
      <c r="J233" s="308"/>
      <c r="K233" s="309"/>
      <c r="L233" s="306">
        <f>L194-L231</f>
        <v>44670.899999999994</v>
      </c>
      <c r="M233" s="308"/>
      <c r="N233" s="306">
        <f>L233-F233</f>
        <v>3714.0770909336861</v>
      </c>
      <c r="O233" s="308"/>
      <c r="P233" s="309"/>
      <c r="Q233" s="306">
        <f>Q194-Q231</f>
        <v>24870.709999999701</v>
      </c>
      <c r="R233" s="308"/>
      <c r="S233" s="310">
        <f>L233-Q233</f>
        <v>19800.190000000293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300" t="s">
        <v>77</v>
      </c>
      <c r="E238" s="1301"/>
      <c r="F238" s="1302"/>
      <c r="G238" s="1303"/>
      <c r="H238" s="1301"/>
      <c r="I238" s="1302"/>
      <c r="J238" s="1303" t="s">
        <v>78</v>
      </c>
      <c r="K238" s="1301"/>
      <c r="L238" s="1302"/>
      <c r="M238" s="1303" t="s">
        <v>2442</v>
      </c>
      <c r="N238" s="1302"/>
      <c r="O238" s="1300" t="s">
        <v>79</v>
      </c>
      <c r="P238" s="1301"/>
      <c r="Q238" s="1302"/>
      <c r="R238" s="1304" t="s">
        <v>2446</v>
      </c>
      <c r="S238" s="1305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15</v>
      </c>
      <c r="P241" s="179">
        <f t="array" ref="P241">+INDEX('Réel 2024'!$A$2:$AO$501,MATCH($A241,'Réel 2024'!$A$2:$A$501,0),MATCH(P$2,'Réel 2024'!$A$2:$AO$2,0))</f>
        <v>3725.96</v>
      </c>
      <c r="Q241" s="180">
        <f t="array" ref="Q241">+INDEX('Réel 2024'!$A$2:$AO$501,MATCH($A241,'Réel 2024'!$A$2:$A$501,0),MATCH(Q$2,'Réel 2024'!$A$2:$AO$2,0))</f>
        <v>905.42</v>
      </c>
      <c r="R241" s="293">
        <f>IF(O241=0,0,J241/O241)</f>
        <v>0</v>
      </c>
      <c r="S241" s="197">
        <f>L241-Q241</f>
        <v>-905.42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0.24300314549807298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3725.96</v>
      </c>
      <c r="Q250" s="28">
        <f t="shared" si="39"/>
        <v>905.42</v>
      </c>
      <c r="R250" s="70">
        <f>L251-Q251</f>
        <v>-0.24300314549807298</v>
      </c>
      <c r="S250" s="321">
        <f>L250-Q250</f>
        <v>-905.42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0.24300314549807298</v>
      </c>
      <c r="R251" s="33"/>
      <c r="S251" s="259">
        <f>IF(R250=0,0,S250/R250)</f>
        <v>3725.96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351.44</v>
      </c>
      <c r="R255" s="223"/>
      <c r="S255" s="197">
        <f>L255-Q255</f>
        <v>-351.44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185.86</v>
      </c>
      <c r="R261" s="223"/>
      <c r="S261" s="197">
        <f t="shared" si="41"/>
        <v>-185.86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216.21</v>
      </c>
      <c r="R262" s="273"/>
      <c r="S262" s="199">
        <f t="shared" si="41"/>
        <v>-216.21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-73.3</v>
      </c>
      <c r="R263" s="223"/>
      <c r="S263" s="197">
        <f t="shared" si="41"/>
        <v>73.3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3.16</v>
      </c>
      <c r="R264" s="223"/>
      <c r="S264" s="197">
        <f t="shared" si="41"/>
        <v>-3.16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1006.64</v>
      </c>
      <c r="R266" s="43"/>
      <c r="S266" s="281">
        <f t="shared" ref="S266:S284" si="42">L266-Q266</f>
        <v>-1006.64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40.76</v>
      </c>
      <c r="R267" s="223"/>
      <c r="S267" s="197">
        <f t="shared" si="42"/>
        <v>-40.76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85.71</v>
      </c>
      <c r="R268" s="223"/>
      <c r="S268" s="197">
        <f t="shared" si="42"/>
        <v>-85.71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151.13</v>
      </c>
      <c r="R269" s="278"/>
      <c r="S269" s="200">
        <f t="shared" si="42"/>
        <v>-151.13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214.63</v>
      </c>
      <c r="R270" s="223"/>
      <c r="S270" s="197">
        <f t="shared" si="42"/>
        <v>-214.63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17.63</v>
      </c>
      <c r="R271" s="223"/>
      <c r="S271" s="197">
        <f t="shared" si="42"/>
        <v>-17.63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204.79</v>
      </c>
      <c r="R272" s="278"/>
      <c r="S272" s="200">
        <f t="shared" si="42"/>
        <v>-204.79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0.6</v>
      </c>
      <c r="R274" s="223"/>
      <c r="S274" s="197">
        <f t="shared" si="42"/>
        <v>-0.6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28.49</v>
      </c>
      <c r="R276" s="223"/>
      <c r="S276" s="197">
        <f t="shared" si="42"/>
        <v>-28.49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17.52</v>
      </c>
      <c r="R277" s="223"/>
      <c r="S277" s="197">
        <f t="shared" si="42"/>
        <v>-17.52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3.05</v>
      </c>
      <c r="R278" s="223"/>
      <c r="S278" s="197">
        <f t="shared" si="42"/>
        <v>-3.05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41.09</v>
      </c>
      <c r="R279" s="223"/>
      <c r="S279" s="197">
        <f t="shared" si="42"/>
        <v>-41.09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-6.63</v>
      </c>
      <c r="R280" s="223"/>
      <c r="S280" s="197">
        <f t="shared" si="42"/>
        <v>6.63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266.06</v>
      </c>
      <c r="R281" s="223"/>
      <c r="S281" s="197">
        <f t="shared" si="42"/>
        <v>-266.06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1064.83</v>
      </c>
      <c r="R285" s="44"/>
      <c r="S285" s="285">
        <f>L285-Q285</f>
        <v>-1064.83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2071.4699999999998</v>
      </c>
      <c r="R287" s="44"/>
      <c r="S287" s="281">
        <f>L287-Q287</f>
        <v>-2071.4699999999998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-1166.0499999999997</v>
      </c>
      <c r="R289" s="308"/>
      <c r="S289" s="310">
        <f>L289-Q289</f>
        <v>1166.0499999999997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300" t="s">
        <v>77</v>
      </c>
      <c r="E293" s="1301"/>
      <c r="F293" s="1302"/>
      <c r="G293" s="1303"/>
      <c r="H293" s="1301"/>
      <c r="I293" s="1302"/>
      <c r="J293" s="1303" t="s">
        <v>78</v>
      </c>
      <c r="K293" s="1301"/>
      <c r="L293" s="1302"/>
      <c r="M293" s="1303" t="s">
        <v>2442</v>
      </c>
      <c r="N293" s="1302"/>
      <c r="O293" s="1300" t="s">
        <v>79</v>
      </c>
      <c r="P293" s="1301"/>
      <c r="Q293" s="1302"/>
      <c r="R293" s="1304" t="s">
        <v>2446</v>
      </c>
      <c r="S293" s="130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79156.896088608351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32454.327396329423</v>
      </c>
      <c r="G295" s="195"/>
      <c r="H295" s="208"/>
      <c r="I295" s="197"/>
      <c r="J295" s="179">
        <f>-SUMIFS(BV_Data_An_Cour!$O:$O,BV_Data_An_Cour!$X:$X,"Oui",BV_Data_An_Cour!$U:$U,$B295,BV_Data_An_Cour!$V:$V,$C295)</f>
        <v>67696.600000000006</v>
      </c>
      <c r="K295" s="208">
        <f t="shared" ref="K295:K300" si="44">IF(J295&lt;=0,0,L295/J295)</f>
        <v>0.36578380598139354</v>
      </c>
      <c r="L295" s="180">
        <f>-SUMIFS(BV_Data_An_Cour!$O:$O,BV_Data_An_Cour!$U:$U,$B295,BV_Data_An_Cour!$V:$V,$C295,BV_Data_An_Cour!$W:$W,$L$2)</f>
        <v>24762.320000000007</v>
      </c>
      <c r="M295" s="293">
        <f t="shared" ref="M295:M301" si="45">(+J295-D295)/D295</f>
        <v>-0.14477950317530985</v>
      </c>
      <c r="N295" s="225">
        <f t="shared" ref="N295:N304" si="46">L295-F295</f>
        <v>-7692.0073963294162</v>
      </c>
      <c r="O295" s="179">
        <f t="array" ref="O295">+INDEX('Réel 2024'!$A$2:$AO$501,MATCH($A295,'Réel 2024'!$A$2:$A$501,0),MATCH(O$2,'Réel 2024'!$A$2:$AO$2,0))</f>
        <v>76600.95</v>
      </c>
      <c r="P295" s="208">
        <f t="shared" ref="P295:P303" si="47">IF(O295=0,0,Q295/O295)</f>
        <v>0.37806776547810439</v>
      </c>
      <c r="Q295" s="180">
        <f t="array" ref="Q295">+INDEX('Réel 2024'!$A$2:$AO$501,MATCH($A295,'Réel 2024'!$A$2:$A$501,0),MATCH(Q$2,'Réel 2024'!$A$2:$AO$2,0))</f>
        <v>28960.35</v>
      </c>
      <c r="R295" s="293">
        <f>IF(O295=0,0,(J295-O295)/O295)</f>
        <v>-0.11624333640770763</v>
      </c>
      <c r="S295" s="197">
        <f t="shared" ref="S295:S300" si="48">L295-Q295</f>
        <v>-4198.0299999999916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236.24</v>
      </c>
      <c r="P296" s="208">
        <f t="shared" si="47"/>
        <v>0.33999322722654923</v>
      </c>
      <c r="Q296" s="180">
        <f t="array" ref="Q296">+INDEX('Réel 2024'!$A$2:$AO$501,MATCH($A296,'Réel 2024'!$A$2:$A$501,0),MATCH(Q$2,'Réel 2024'!$A$2:$AO$2,0))</f>
        <v>80.319999999999993</v>
      </c>
      <c r="R296" s="293">
        <f t="shared" ref="R296:R303" si="50">IF(O296=0,0,(J296-O296)/O296)</f>
        <v>-1</v>
      </c>
      <c r="S296" s="197">
        <f t="shared" si="48"/>
        <v>-80.319999999999993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43079.472829361701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12277.649756368084</v>
      </c>
      <c r="G297" s="195"/>
      <c r="H297" s="208"/>
      <c r="I297" s="197"/>
      <c r="J297" s="179">
        <f>-SUMIFS(BV_Data_An_Cour!$O:$O,BV_Data_An_Cour!$X:$X,"Oui",BV_Data_An_Cour!$U:$U,$B297,BV_Data_An_Cour!$V:$V,$C297)</f>
        <v>41301.49</v>
      </c>
      <c r="K297" s="208">
        <f t="shared" si="44"/>
        <v>0.27899162959980384</v>
      </c>
      <c r="L297" s="180">
        <f>-SUMIFS(BV_Data_An_Cour!$O:$O,BV_Data_An_Cour!$U:$U,$B297,BV_Data_An_Cour!$V:$V,$C297,BV_Data_An_Cour!$W:$W,$L$2)</f>
        <v>11522.770000000002</v>
      </c>
      <c r="M297" s="293">
        <f t="shared" si="45"/>
        <v>-4.1272158468705356E-2</v>
      </c>
      <c r="N297" s="225">
        <f t="shared" si="46"/>
        <v>-754.87975636808187</v>
      </c>
      <c r="O297" s="179">
        <f t="array" ref="O297">+INDEX('Réel 2024'!$A$2:$AO$501,MATCH($A297,'Réel 2024'!$A$2:$A$501,0),MATCH(O$2,'Réel 2024'!$A$2:$AO$2,0))</f>
        <v>82161.429999999993</v>
      </c>
      <c r="P297" s="208">
        <f t="shared" si="47"/>
        <v>0.2859726273021283</v>
      </c>
      <c r="Q297" s="180">
        <f t="array" ref="Q297">+INDEX('Réel 2024'!$A$2:$AO$501,MATCH($A297,'Réel 2024'!$A$2:$A$501,0),MATCH(Q$2,'Réel 2024'!$A$2:$AO$2,0))</f>
        <v>23495.9199999999</v>
      </c>
      <c r="R297" s="293">
        <f t="shared" si="50"/>
        <v>-0.49731291191012617</v>
      </c>
      <c r="S297" s="197">
        <f t="shared" si="48"/>
        <v>-11973.149999999898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30334.351860371611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10617.023151130063</v>
      </c>
      <c r="G298" s="195"/>
      <c r="H298" s="208"/>
      <c r="I298" s="197"/>
      <c r="J298" s="179">
        <f>-SUMIFS(BV_Data_An_Cour!$O:$O,BV_Data_An_Cour!$X:$X,"Oui",BV_Data_An_Cour!$U:$U,$B298,BV_Data_An_Cour!$V:$V,$C298)</f>
        <v>30393.85</v>
      </c>
      <c r="K298" s="208">
        <f t="shared" si="44"/>
        <v>0.31035620693002036</v>
      </c>
      <c r="L298" s="180">
        <f>-SUMIFS(BV_Data_An_Cour!$O:$O,BV_Data_An_Cour!$U:$U,$B298,BV_Data_An_Cour!$V:$V,$C298,BV_Data_An_Cour!$W:$W,$L$2)</f>
        <v>9432.9199999999983</v>
      </c>
      <c r="M298" s="293">
        <f t="shared" si="45"/>
        <v>1.961411270702474E-3</v>
      </c>
      <c r="N298" s="225">
        <f t="shared" si="46"/>
        <v>-1184.1031511300644</v>
      </c>
      <c r="O298" s="179">
        <f t="array" ref="O298">+INDEX('Réel 2024'!$A$2:$AO$501,MATCH($A298,'Réel 2024'!$A$2:$A$501,0),MATCH(O$2,'Réel 2024'!$A$2:$AO$2,0))</f>
        <v>30386.959999999999</v>
      </c>
      <c r="P298" s="208">
        <f t="shared" si="47"/>
        <v>0.32565021311773212</v>
      </c>
      <c r="Q298" s="180">
        <f t="array" ref="Q298">+INDEX('Réel 2024'!$A$2:$AO$501,MATCH($A298,'Réel 2024'!$A$2:$A$501,0),MATCH(Q$2,'Réel 2024'!$A$2:$AO$2,0))</f>
        <v>9895.52</v>
      </c>
      <c r="R298" s="293">
        <f t="shared" si="50"/>
        <v>2.2674199722510637E-4</v>
      </c>
      <c r="S298" s="197">
        <f t="shared" si="48"/>
        <v>-462.60000000000218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26654.02245254481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7996.2067357634423</v>
      </c>
      <c r="G299" s="195"/>
      <c r="H299" s="208"/>
      <c r="I299" s="197"/>
      <c r="J299" s="179">
        <f>-SUMIFS(BV_Data_An_Cour!$O:$O,BV_Data_An_Cour!$X:$X,"Oui",BV_Data_An_Cour!$U:$U,$B299,BV_Data_An_Cour!$V:$V,$C299)</f>
        <v>20308.849999999999</v>
      </c>
      <c r="K299" s="208">
        <f t="shared" si="44"/>
        <v>0.27080558475738403</v>
      </c>
      <c r="L299" s="180">
        <f>-SUMIFS(BV_Data_An_Cour!$O:$O,BV_Data_An_Cour!$U:$U,$B299,BV_Data_An_Cour!$V:$V,$C299,BV_Data_An_Cour!$W:$W,$L$2)</f>
        <v>5499.7499999999982</v>
      </c>
      <c r="M299" s="293">
        <f t="shared" si="45"/>
        <v>-0.23805684353428622</v>
      </c>
      <c r="N299" s="225">
        <f t="shared" si="46"/>
        <v>-2496.4567357634442</v>
      </c>
      <c r="O299" s="179">
        <f t="array" ref="O299">+INDEX('Réel 2024'!$A$2:$AO$501,MATCH($A299,'Réel 2024'!$A$2:$A$501,0),MATCH(O$2,'Réel 2024'!$A$2:$AO$2,0))</f>
        <v>26330.03</v>
      </c>
      <c r="P299" s="208">
        <f t="shared" si="47"/>
        <v>0.27260280371879525</v>
      </c>
      <c r="Q299" s="180">
        <f t="array" ref="Q299">+INDEX('Réel 2024'!$A$2:$AO$501,MATCH($A299,'Réel 2024'!$A$2:$A$501,0),MATCH(Q$2,'Réel 2024'!$A$2:$AO$2,0))</f>
        <v>7177.6399999999903</v>
      </c>
      <c r="R299" s="293">
        <f t="shared" si="50"/>
        <v>-0.22868109151413807</v>
      </c>
      <c r="S299" s="197">
        <f t="shared" si="48"/>
        <v>-1677.8899999999921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61767.125077228797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12353.42501544576</v>
      </c>
      <c r="G300" s="195"/>
      <c r="H300" s="208"/>
      <c r="I300" s="197"/>
      <c r="J300" s="179">
        <f>-SUMIFS(BV_Data_An_Cour!$O:$O,BV_Data_An_Cour!$X:$X,"Oui",BV_Data_An_Cour!$U:$U,$B300,BV_Data_An_Cour!$V:$V,$C300)</f>
        <v>50422.46</v>
      </c>
      <c r="K300" s="208">
        <f t="shared" si="44"/>
        <v>0.18355133803467741</v>
      </c>
      <c r="L300" s="180">
        <f>-SUMIFS(BV_Data_An_Cour!$O:$O,BV_Data_An_Cour!$U:$U,$B300,BV_Data_An_Cour!$V:$V,$C300,BV_Data_An_Cour!$W:$W,$L$2)</f>
        <v>9255.11</v>
      </c>
      <c r="M300" s="293">
        <f t="shared" si="45"/>
        <v>-0.18366833591565598</v>
      </c>
      <c r="N300" s="225">
        <f t="shared" si="46"/>
        <v>-3098.3150154457599</v>
      </c>
      <c r="O300" s="179">
        <f t="array" ref="O300">+INDEX('Réel 2024'!$A$2:$AO$501,MATCH($A300,'Réel 2024'!$A$2:$A$501,0),MATCH(O$2,'Réel 2024'!$A$2:$AO$2,0))</f>
        <v>54580.51</v>
      </c>
      <c r="P300" s="208">
        <f t="shared" si="47"/>
        <v>0.21461800192046573</v>
      </c>
      <c r="Q300" s="180">
        <f t="array" ref="Q300">+INDEX('Réel 2024'!$A$2:$AO$501,MATCH($A300,'Réel 2024'!$A$2:$A$501,0),MATCH(Q$2,'Réel 2024'!$A$2:$AO$2,0))</f>
        <v>11713.96</v>
      </c>
      <c r="R300" s="293">
        <f t="shared" si="50"/>
        <v>-7.6181955793377581E-2</v>
      </c>
      <c r="S300" s="197">
        <f t="shared" si="48"/>
        <v>-2458.8499999999985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6304.6250664201443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7662.76</v>
      </c>
      <c r="M302" s="293"/>
      <c r="N302" s="225">
        <f t="shared" si="46"/>
        <v>1358.1349335798559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2545.65</v>
      </c>
      <c r="R302" s="293">
        <f t="shared" si="50"/>
        <v>0</v>
      </c>
      <c r="S302" s="197">
        <f>L302-Q302</f>
        <v>5117.1100000000006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20577.169999999998</v>
      </c>
      <c r="M303" s="293"/>
      <c r="N303" s="225">
        <f t="shared" si="46"/>
        <v>20577.169999999998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20577.169999999998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240991.86830811526</v>
      </c>
      <c r="E304" s="295">
        <f>IF(D304&lt;=0,0,F304/D304)</f>
        <v>0.34027395902260626</v>
      </c>
      <c r="F304" s="198">
        <f>SUM(F295:F303)</f>
        <v>82003.257121456933</v>
      </c>
      <c r="G304" s="196"/>
      <c r="H304" s="295"/>
      <c r="I304" s="198"/>
      <c r="J304" s="196">
        <f>SUM(J295:J303)</f>
        <v>210123.25</v>
      </c>
      <c r="K304" s="295">
        <f>IF(J304&lt;=0,0,L304/J304)</f>
        <v>0.42219411702417509</v>
      </c>
      <c r="L304" s="221">
        <f>SUM(L295:L303)</f>
        <v>88712.8</v>
      </c>
      <c r="M304" s="296">
        <f>(+J304-D304)/D304</f>
        <v>-0.12808987508511618</v>
      </c>
      <c r="N304" s="221">
        <f t="shared" si="46"/>
        <v>6709.5428785430704</v>
      </c>
      <c r="O304" s="196">
        <f>SUM(O295:O303)</f>
        <v>270296.12</v>
      </c>
      <c r="P304" s="295">
        <f>IF(O304&lt;=0,0,Q304/O304)</f>
        <v>0.31028695491448366</v>
      </c>
      <c r="Q304" s="221">
        <f t="shared" ref="Q304" si="51">SUM(Q295:Q303)</f>
        <v>83869.35999999987</v>
      </c>
      <c r="R304" s="296">
        <f>IF(O304=0,0,(J304-O304)/O304)</f>
        <v>-0.22261832689274266</v>
      </c>
      <c r="S304" s="198">
        <f>L304-Q304</f>
        <v>4843.4400000001333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8.1820443651468747E-2</v>
      </c>
      <c r="O305" s="223"/>
      <c r="P305" s="178"/>
      <c r="Q305" s="265"/>
      <c r="R305" s="223"/>
      <c r="S305" s="262">
        <f>IF(Q304=0,0,S304/Q304)</f>
        <v>5.7749814711834463E-2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137205.10504824581</v>
      </c>
      <c r="E307" s="208">
        <f>IF(D307=0,0,F307/D307)</f>
        <v>0.24000000000000002</v>
      </c>
      <c r="F307" s="199">
        <f>+INDEX('Budget original'!$A$2:$AO$501,MATCH($A307,'Budget original'!$A$2:$A$501,0),MATCH(F$2,'Budget original'!$A$2:$AO$2,0))</f>
        <v>32929.225211578996</v>
      </c>
      <c r="G307" s="195"/>
      <c r="H307" s="208"/>
      <c r="I307" s="199"/>
      <c r="J307" s="179">
        <f>-SUMIFS(BV_Data_An_Cour!$O:$O,BV_Data_An_Cour!$X:$X,"Oui",BV_Data_An_Cour!$U:$U,$B307,BV_Data_An_Cour!$V:$V,$C307)</f>
        <v>204347.3</v>
      </c>
      <c r="K307" s="208">
        <f>IF(J307&lt;=0,0,L307/J307)</f>
        <v>0.24262987570670119</v>
      </c>
      <c r="L307" s="180">
        <f>-SUMIFS(BV_Data_An_Cour!$O:$O,BV_Data_An_Cour!$U:$U,$B307,BV_Data_An_Cour!$V:$V,$C307,BV_Data_An_Cour!$W:$W,$L$2)</f>
        <v>49580.75999999998</v>
      </c>
      <c r="M307" s="293">
        <f>(+J307-D307)/D307</f>
        <v>0.4893563904064997</v>
      </c>
      <c r="N307" s="225">
        <f>L307-F307</f>
        <v>16651.534788420984</v>
      </c>
      <c r="O307" s="179">
        <f t="array" ref="O307">+INDEX('Réel 2024'!$A$2:$AO$501,MATCH($A307,'Réel 2024'!$A$2:$A$501,0),MATCH(O$2,'Réel 2024'!$A$2:$AO$2,0))</f>
        <v>162274.26</v>
      </c>
      <c r="P307" s="208">
        <f t="shared" ref="P307:P308" si="52">IF(O307=0,0,Q307/O307)</f>
        <v>0.24469580080044734</v>
      </c>
      <c r="Q307" s="180">
        <f t="array" ref="Q307">+INDEX('Réel 2024'!$A$2:$AO$501,MATCH($A307,'Réel 2024'!$A$2:$A$501,0),MATCH(Q$2,'Réel 2024'!$A$2:$AO$2,0))</f>
        <v>39707.83</v>
      </c>
      <c r="R307" s="293">
        <f>IF(O307=0,0,(J307-O307)/O307)</f>
        <v>0.25927118693993723</v>
      </c>
      <c r="S307" s="197">
        <f>L307-Q307</f>
        <v>9872.9299999999785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13485.861772785223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4639.1364498381163</v>
      </c>
      <c r="G308" s="195"/>
      <c r="H308" s="208"/>
      <c r="I308" s="200"/>
      <c r="J308" s="179">
        <f>-SUMIFS(BV_Data_An_Cour!$O:$O,BV_Data_An_Cour!$X:$X,"Oui",BV_Data_An_Cour!$U:$U,$B308,BV_Data_An_Cour!$V:$V,$C308)</f>
        <v>12387.68</v>
      </c>
      <c r="K308" s="208">
        <f>IF(J308&lt;=0,0,L308/J308)</f>
        <v>0.38427373002854459</v>
      </c>
      <c r="L308" s="180">
        <f>-SUMIFS(BV_Data_An_Cour!$O:$O,BV_Data_An_Cour!$U:$U,$B308,BV_Data_An_Cour!$V:$V,$C308,BV_Data_An_Cour!$W:$W,$L$2)</f>
        <v>4760.2600000000011</v>
      </c>
      <c r="M308" s="293">
        <f>(+J308-D308)/D308</f>
        <v>-8.143207985427961E-2</v>
      </c>
      <c r="N308" s="225">
        <f>L308-F308</f>
        <v>121.12355016188485</v>
      </c>
      <c r="O308" s="179">
        <f t="array" ref="O308">+INDEX('Réel 2024'!$A$2:$AO$501,MATCH($A308,'Réel 2024'!$A$2:$A$501,0),MATCH(O$2,'Réel 2024'!$A$2:$AO$2,0))</f>
        <v>13794.31</v>
      </c>
      <c r="P308" s="208">
        <f t="shared" si="52"/>
        <v>0.35493402714597538</v>
      </c>
      <c r="Q308" s="180">
        <f t="array" ref="Q308">+INDEX('Réel 2024'!$A$2:$AO$501,MATCH($A308,'Réel 2024'!$A$2:$A$501,0),MATCH(Q$2,'Réel 2024'!$A$2:$AO$2,0))</f>
        <v>4896.07</v>
      </c>
      <c r="R308" s="293">
        <f>IF(O308=0,0,(J308-O308)/O308)</f>
        <v>-0.10197175502072951</v>
      </c>
      <c r="S308" s="197">
        <f>L308-Q308</f>
        <v>-135.80999999999858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391682.83512914623</v>
      </c>
      <c r="E309" s="295">
        <f>IF(D309&lt;=0,0,F309/D309)</f>
        <v>0.30527663726557924</v>
      </c>
      <c r="F309" s="221">
        <f>F304+F307+F308</f>
        <v>119571.61878287405</v>
      </c>
      <c r="G309" s="222"/>
      <c r="H309" s="295"/>
      <c r="I309" s="221"/>
      <c r="J309" s="222">
        <f>J304+J307+J308</f>
        <v>426858.23</v>
      </c>
      <c r="K309" s="295">
        <f>IF(J309&lt;=0,0,L309/J309)</f>
        <v>0.33513192424566818</v>
      </c>
      <c r="L309" s="221">
        <f>L304+L307+L308</f>
        <v>143053.82</v>
      </c>
      <c r="M309" s="296">
        <f>(+J309-D309)/D309</f>
        <v>8.9805811529258539E-2</v>
      </c>
      <c r="N309" s="221">
        <f>L309-F309</f>
        <v>23482.201217125956</v>
      </c>
      <c r="O309" s="222">
        <f>O304+O307+O308</f>
        <v>446364.69</v>
      </c>
      <c r="P309" s="295">
        <f>IF(O309&lt;=0,0,Q309/O309)</f>
        <v>0.28782128801451534</v>
      </c>
      <c r="Q309" s="221">
        <f t="shared" ref="Q309" si="53">Q304+Q307+Q308</f>
        <v>128473.25999999986</v>
      </c>
      <c r="R309" s="296">
        <f>IF(O309=0,0,(J309-O309)/O309)</f>
        <v>-4.3700723728841588E-2</v>
      </c>
      <c r="S309" s="198">
        <f>L309-Q309</f>
        <v>14580.560000000143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0.19638607770098412</v>
      </c>
      <c r="O310" s="223"/>
      <c r="P310" s="178"/>
      <c r="Q310" s="265"/>
      <c r="R310" s="223"/>
      <c r="S310" s="262">
        <f>IF(Q309=0,0,S309/Q309)</f>
        <v>0.11349100972451512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391682.83512914623</v>
      </c>
      <c r="E314" s="71">
        <f>IF(D314&lt;=0,0,F314/D314)</f>
        <v>0.30527663726557924</v>
      </c>
      <c r="F314" s="28">
        <f>F309+F312</f>
        <v>119571.61878287405</v>
      </c>
      <c r="G314" s="29"/>
      <c r="H314" s="71"/>
      <c r="I314" s="28"/>
      <c r="J314" s="29">
        <f>J309+J312</f>
        <v>426858.23</v>
      </c>
      <c r="K314" s="71">
        <f>IF(J314&lt;=0,0,L314/J314)</f>
        <v>0.33513192424566818</v>
      </c>
      <c r="L314" s="28">
        <f>L309+L312</f>
        <v>143053.82</v>
      </c>
      <c r="M314" s="72">
        <f>(+J314-D314)/D314</f>
        <v>8.9805811529258539E-2</v>
      </c>
      <c r="N314" s="73">
        <f>L314-F314</f>
        <v>23482.201217125956</v>
      </c>
      <c r="O314" s="29">
        <f>O309+O312</f>
        <v>446364.69</v>
      </c>
      <c r="P314" s="71">
        <f>IF(O314&lt;=0,0,Q314/O314)</f>
        <v>0.28782128801451534</v>
      </c>
      <c r="Q314" s="28">
        <f t="shared" ref="Q314" si="54">Q309+Q312</f>
        <v>128473.25999999986</v>
      </c>
      <c r="R314" s="72">
        <f>IF(O314=0,0,(J314-O314)/O314)</f>
        <v>-4.3700723728841588E-2</v>
      </c>
      <c r="S314" s="257">
        <f>L314-Q314</f>
        <v>14580.560000000143</v>
      </c>
      <c r="T314" s="25"/>
      <c r="U314" s="25"/>
      <c r="V314" s="24" t="s">
        <v>2358</v>
      </c>
      <c r="W314" s="1180"/>
      <c r="X314" s="1155">
        <f>L314-W314</f>
        <v>143053.82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0.19638607770098412</v>
      </c>
      <c r="O315" s="77"/>
      <c r="P315" s="75"/>
      <c r="Q315" s="76"/>
      <c r="R315" s="78"/>
      <c r="S315" s="259">
        <f>IF(Q314=0,0,S314/Q314)</f>
        <v>0.11349100972451512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4172.7492779251406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4326.13</v>
      </c>
      <c r="M318" s="223"/>
      <c r="N318" s="225">
        <f t="shared" ref="N318:N348" si="55">L318-F318</f>
        <v>153.38072207485948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1891.9300000000003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2674.232950191571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2772.21</v>
      </c>
      <c r="M319" s="223"/>
      <c r="N319" s="225">
        <f t="shared" si="55"/>
        <v>97.977049808429001</v>
      </c>
      <c r="O319" s="223"/>
      <c r="P319" s="178"/>
      <c r="Q319" s="180">
        <f t="array" ref="Q319">+INDEX('Réel 2024'!$A$2:$AO$501,MATCH($A319,'Réel 2024'!$A$2:$A$501,0),MATCH(Q$2,'Réel 2024'!$A$2:$AO$2,0))</f>
        <v>2811.6</v>
      </c>
      <c r="R319" s="223"/>
      <c r="S319" s="197">
        <f t="shared" si="56"/>
        <v>-39.389999999999873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14037.305823754788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21041.61</v>
      </c>
      <c r="M320" s="273"/>
      <c r="N320" s="274">
        <f t="shared" si="55"/>
        <v>7004.3041762452121</v>
      </c>
      <c r="O320" s="273"/>
      <c r="P320" s="271"/>
      <c r="Q320" s="181">
        <f t="array" ref="Q320">+INDEX('Réel 2024'!$A$2:$AO$501,MATCH($A320,'Réel 2024'!$A$2:$A$501,0),MATCH(Q$2,'Réel 2024'!$A$2:$AO$2,0))</f>
        <v>16511.98</v>
      </c>
      <c r="R320" s="273"/>
      <c r="S320" s="199">
        <f t="shared" si="56"/>
        <v>4529.630000000001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2167.5612001650456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2129.5500000000002</v>
      </c>
      <c r="M325" s="223"/>
      <c r="N325" s="225">
        <f t="shared" si="55"/>
        <v>-38.011200165045466</v>
      </c>
      <c r="O325" s="223"/>
      <c r="P325" s="178"/>
      <c r="Q325" s="180">
        <f t="array" ref="Q325">+INDEX('Réel 2024'!$A$2:$AO$501,MATCH($A325,'Réel 2024'!$A$2:$A$501,0),MATCH(Q$2,'Réel 2024'!$A$2:$AO$2,0))</f>
        <v>2596.4299999999998</v>
      </c>
      <c r="R325" s="223"/>
      <c r="S325" s="197">
        <f t="shared" si="56"/>
        <v>-466.87999999999965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2744.7921719481287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1756.92</v>
      </c>
      <c r="M326" s="273"/>
      <c r="N326" s="274">
        <f t="shared" si="55"/>
        <v>-987.87217194812865</v>
      </c>
      <c r="O326" s="273"/>
      <c r="P326" s="271"/>
      <c r="Q326" s="181">
        <f t="array" ref="Q326">+INDEX('Réel 2024'!$A$2:$AO$501,MATCH($A326,'Réel 2024'!$A$2:$A$501,0),MATCH(Q$2,'Réel 2024'!$A$2:$AO$2,0))</f>
        <v>2755.91</v>
      </c>
      <c r="R326" s="273"/>
      <c r="S326" s="199">
        <f t="shared" si="56"/>
        <v>-998.98999999999978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1649.2313479516654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2326.9699999999998</v>
      </c>
      <c r="M327" s="223"/>
      <c r="N327" s="225">
        <f t="shared" si="55"/>
        <v>677.73865204833442</v>
      </c>
      <c r="O327" s="223"/>
      <c r="P327" s="178"/>
      <c r="Q327" s="180">
        <f t="array" ref="Q327">+INDEX('Réel 2024'!$A$2:$AO$501,MATCH($A327,'Réel 2024'!$A$2:$A$501,0),MATCH(Q$2,'Réel 2024'!$A$2:$AO$2,0))</f>
        <v>735.92</v>
      </c>
      <c r="R327" s="223"/>
      <c r="S327" s="197">
        <f t="shared" si="56"/>
        <v>1591.0499999999997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353.40671741821399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439.14</v>
      </c>
      <c r="M328" s="746"/>
      <c r="N328" s="194">
        <f t="shared" si="55"/>
        <v>85.733282581786</v>
      </c>
      <c r="O328" s="223"/>
      <c r="P328" s="178"/>
      <c r="Q328" s="180">
        <f t="array" ref="Q328">+INDEX('Réel 2024'!$A$2:$AO$501,MATCH($A328,'Réel 2024'!$A$2:$A$501,0),MATCH(Q$2,'Réel 2024'!$A$2:$AO$2,0))</f>
        <v>256.94</v>
      </c>
      <c r="R328" s="223"/>
      <c r="S328" s="197">
        <f t="shared" si="56"/>
        <v>182.2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0.23249061752550407</v>
      </c>
      <c r="F330" s="41">
        <f>+SUM(F318:F329)</f>
        <v>27799.279489354551</v>
      </c>
      <c r="G330" s="42"/>
      <c r="H330" s="40"/>
      <c r="I330" s="41"/>
      <c r="J330" s="42" t="s">
        <v>108</v>
      </c>
      <c r="K330" s="40">
        <f>L330/L$314</f>
        <v>0.24321286911457518</v>
      </c>
      <c r="L330" s="41">
        <f>+SUM(L318:L329)</f>
        <v>34792.53</v>
      </c>
      <c r="M330" s="43"/>
      <c r="N330" s="46">
        <f t="shared" si="55"/>
        <v>6993.2505106454482</v>
      </c>
      <c r="O330" s="42" t="s">
        <v>108</v>
      </c>
      <c r="P330" s="40">
        <f>Q330/Q$314</f>
        <v>0.21874575300727969</v>
      </c>
      <c r="Q330" s="41">
        <f>+SUM(Q318:Q329)</f>
        <v>28102.979999999996</v>
      </c>
      <c r="R330" s="43"/>
      <c r="S330" s="281">
        <f t="shared" si="56"/>
        <v>6689.5500000000029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3642.0826464127581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7567.43</v>
      </c>
      <c r="M331" s="223"/>
      <c r="N331" s="225">
        <f t="shared" si="55"/>
        <v>3925.3473535872422</v>
      </c>
      <c r="O331" s="223"/>
      <c r="P331" s="178"/>
      <c r="Q331" s="180">
        <f t="array" ref="Q331">+INDEX('Réel 2024'!$A$2:$AO$501,MATCH($A331,'Réel 2024'!$A$2:$A$501,0),MATCH(Q$2,'Réel 2024'!$A$2:$AO$2,0))</f>
        <v>1451.71</v>
      </c>
      <c r="R331" s="223"/>
      <c r="S331" s="197">
        <f t="shared" si="56"/>
        <v>6115.72</v>
      </c>
      <c r="T331" s="25"/>
      <c r="U331" s="25"/>
      <c r="V331" s="76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3090.3599999999997</v>
      </c>
      <c r="M332" s="223"/>
      <c r="N332" s="225">
        <f t="shared" si="55"/>
        <v>2515.3599999999997</v>
      </c>
      <c r="O332" s="223"/>
      <c r="P332" s="178"/>
      <c r="Q332" s="180">
        <f t="array" ref="Q332">+INDEX('Réel 2024'!$A$2:$AO$501,MATCH($A332,'Réel 2024'!$A$2:$A$501,0),MATCH(Q$2,'Réel 2024'!$A$2:$AO$2,0))</f>
        <v>817.42</v>
      </c>
      <c r="R332" s="223"/>
      <c r="S332" s="197">
        <f t="shared" si="56"/>
        <v>2272.9399999999996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6053.9333333333334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6964.09</v>
      </c>
      <c r="M333" s="278"/>
      <c r="N333" s="279">
        <f t="shared" si="55"/>
        <v>910.15666666666675</v>
      </c>
      <c r="O333" s="278"/>
      <c r="P333" s="276"/>
      <c r="Q333" s="180">
        <f t="array" ref="Q333">+INDEX('Réel 2024'!$A$2:$AO$501,MATCH($A333,'Réel 2024'!$A$2:$A$501,0),MATCH(Q$2,'Réel 2024'!$A$2:$AO$2,0))</f>
        <v>6702.78999999999</v>
      </c>
      <c r="R333" s="278"/>
      <c r="S333" s="200">
        <f t="shared" si="56"/>
        <v>261.30000000001019</v>
      </c>
      <c r="T333" s="25"/>
      <c r="U333" s="25"/>
      <c r="V333" s="76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1786.18</v>
      </c>
      <c r="M334" s="223"/>
      <c r="N334" s="225">
        <f t="shared" si="55"/>
        <v>-40.620000000000118</v>
      </c>
      <c r="O334" s="223"/>
      <c r="P334" s="178"/>
      <c r="Q334" s="181">
        <f t="array" ref="Q334">+INDEX('Réel 2024'!$A$2:$AO$501,MATCH($A334,'Réel 2024'!$A$2:$A$501,0),MATCH(Q$2,'Réel 2024'!$A$2:$AO$2,0))</f>
        <v>1717.09</v>
      </c>
      <c r="R334" s="223"/>
      <c r="S334" s="197">
        <f t="shared" si="56"/>
        <v>69.090000000000146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400.77</v>
      </c>
      <c r="M335" s="223"/>
      <c r="N335" s="225">
        <f t="shared" si="55"/>
        <v>34.103333333333296</v>
      </c>
      <c r="O335" s="223"/>
      <c r="P335" s="178"/>
      <c r="Q335" s="180">
        <f t="array" ref="Q335">+INDEX('Réel 2024'!$A$2:$AO$501,MATCH($A335,'Réel 2024'!$A$2:$A$501,0),MATCH(Q$2,'Réel 2024'!$A$2:$AO$2,0))</f>
        <v>141.25</v>
      </c>
      <c r="R335" s="223"/>
      <c r="S335" s="197">
        <f t="shared" si="56"/>
        <v>259.52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2344.59</v>
      </c>
      <c r="M336" s="278"/>
      <c r="N336" s="279">
        <f t="shared" si="55"/>
        <v>321.3900000000001</v>
      </c>
      <c r="O336" s="278"/>
      <c r="P336" s="276"/>
      <c r="Q336" s="350">
        <f t="array" ref="Q336">+INDEX('Réel 2024'!$A$2:$AO$501,MATCH($A336,'Réel 2024'!$A$2:$A$501,0),MATCH(Q$2,'Réel 2024'!$A$2:$AO$2,0))</f>
        <v>1813.58</v>
      </c>
      <c r="R336" s="278"/>
      <c r="S336" s="200">
        <f t="shared" si="56"/>
        <v>531.01000000000022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70.61</v>
      </c>
      <c r="R338" s="223"/>
      <c r="S338" s="197">
        <f t="shared" si="56"/>
        <v>-70.61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290.45</v>
      </c>
      <c r="M339" s="223"/>
      <c r="N339" s="225">
        <f t="shared" si="55"/>
        <v>270.45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290.45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271.57</v>
      </c>
      <c r="M340" s="223"/>
      <c r="N340" s="225">
        <f t="shared" si="55"/>
        <v>-43.430000000000007</v>
      </c>
      <c r="O340" s="223"/>
      <c r="P340" s="178"/>
      <c r="Q340" s="473">
        <f t="array" ref="Q340">+INDEX('Réel 2024'!$A$2:$AO$501,MATCH($A340,'Réel 2024'!$A$2:$A$501,0),MATCH(Q$2,'Réel 2024'!$A$2:$AO$2,0))</f>
        <v>227.93</v>
      </c>
      <c r="R340" s="223"/>
      <c r="S340" s="197">
        <f t="shared" si="56"/>
        <v>43.639999999999986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115.51</v>
      </c>
      <c r="M341" s="223"/>
      <c r="N341" s="225">
        <f t="shared" si="55"/>
        <v>-2.8900000000000006</v>
      </c>
      <c r="O341" s="223"/>
      <c r="P341" s="178"/>
      <c r="Q341" s="180">
        <f t="array" ref="Q341">+INDEX('Réel 2024'!$A$2:$AO$501,MATCH($A341,'Réel 2024'!$A$2:$A$501,0),MATCH(Q$2,'Réel 2024'!$A$2:$AO$2,0))</f>
        <v>186.34</v>
      </c>
      <c r="R341" s="223"/>
      <c r="S341" s="197">
        <f t="shared" si="56"/>
        <v>-70.83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922.74</v>
      </c>
      <c r="M342" s="223"/>
      <c r="N342" s="225">
        <f t="shared" si="55"/>
        <v>332.74</v>
      </c>
      <c r="O342" s="223"/>
      <c r="P342" s="178"/>
      <c r="Q342" s="180">
        <f t="array" ref="Q342">+INDEX('Réel 2024'!$A$2:$AO$501,MATCH($A342,'Réel 2024'!$A$2:$A$501,0),MATCH(Q$2,'Réel 2024'!$A$2:$AO$2,0))</f>
        <v>383.89</v>
      </c>
      <c r="R342" s="223"/>
      <c r="S342" s="197">
        <f t="shared" si="56"/>
        <v>538.85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265.5</v>
      </c>
      <c r="M343" s="223"/>
      <c r="N343" s="225">
        <f t="shared" si="55"/>
        <v>-82.700000000000045</v>
      </c>
      <c r="O343" s="223"/>
      <c r="P343" s="178"/>
      <c r="Q343" s="180">
        <f t="array" ref="Q343">+INDEX('Réel 2024'!$A$2:$AO$501,MATCH($A343,'Réel 2024'!$A$2:$A$501,0),MATCH(Q$2,'Réel 2024'!$A$2:$AO$2,0))</f>
        <v>328.8</v>
      </c>
      <c r="R343" s="223"/>
      <c r="S343" s="197">
        <f t="shared" si="56"/>
        <v>-63.300000000000011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478.51</v>
      </c>
      <c r="M344" s="223"/>
      <c r="N344" s="225">
        <f t="shared" si="55"/>
        <v>222.09510666666671</v>
      </c>
      <c r="O344" s="223"/>
      <c r="P344" s="178"/>
      <c r="Q344" s="180">
        <f t="array" ref="Q344">+INDEX('Réel 2024'!$A$2:$AO$501,MATCH($A344,'Réel 2024'!$A$2:$A$501,0),MATCH(Q$2,'Réel 2024'!$A$2:$AO$2,0))</f>
        <v>-53</v>
      </c>
      <c r="R344" s="223"/>
      <c r="S344" s="197">
        <f>L344-Q344</f>
        <v>531.51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1275.9239043321058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2003.24</v>
      </c>
      <c r="M345" s="223"/>
      <c r="N345" s="225">
        <f t="shared" si="55"/>
        <v>727.31609566789416</v>
      </c>
      <c r="O345" s="223"/>
      <c r="P345" s="178"/>
      <c r="Q345" s="180">
        <f t="array" ref="Q345">+INDEX('Réel 2024'!$A$2:$AO$501,MATCH($A345,'Réel 2024'!$A$2:$A$501,0),MATCH(Q$2,'Réel 2024'!$A$2:$AO$2,0))</f>
        <v>2128.4699999999998</v>
      </c>
      <c r="R345" s="223"/>
      <c r="S345" s="197">
        <f>L345-Q345</f>
        <v>-125.22999999999979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0.1457003059874393</v>
      </c>
      <c r="F349" s="41">
        <f>+SUM(F331:F348)</f>
        <v>17421.621444078195</v>
      </c>
      <c r="G349" s="42"/>
      <c r="H349" s="40"/>
      <c r="I349" s="41"/>
      <c r="J349" s="42" t="s">
        <v>108</v>
      </c>
      <c r="K349" s="40">
        <f>L349/L$314</f>
        <v>0.18525153679922704</v>
      </c>
      <c r="L349" s="41">
        <f>+SUM(L331:L348)</f>
        <v>26500.940000000002</v>
      </c>
      <c r="M349" s="44"/>
      <c r="N349" s="41">
        <f>+SUM(N331:N348)</f>
        <v>9079.3185559218036</v>
      </c>
      <c r="O349" s="42" t="s">
        <v>108</v>
      </c>
      <c r="P349" s="40">
        <f>Q349/Q$314</f>
        <v>0.12389255164849096</v>
      </c>
      <c r="Q349" s="41">
        <f>+SUM(Q331:Q348)</f>
        <v>15916.87999999999</v>
      </c>
      <c r="R349" s="44"/>
      <c r="S349" s="285">
        <f>+SUM(S331:S348)</f>
        <v>10584.060000000012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0.37819092351294337</v>
      </c>
      <c r="F351" s="41">
        <f>F330+F349</f>
        <v>45220.900933432742</v>
      </c>
      <c r="G351" s="42"/>
      <c r="H351" s="40"/>
      <c r="I351" s="41"/>
      <c r="J351" s="42" t="s">
        <v>108</v>
      </c>
      <c r="K351" s="40">
        <f>L351/L$314</f>
        <v>0.42846440591380219</v>
      </c>
      <c r="L351" s="41">
        <f>L330+L349</f>
        <v>61293.47</v>
      </c>
      <c r="M351" s="44"/>
      <c r="N351" s="46">
        <f>L351-F351</f>
        <v>16072.569066567259</v>
      </c>
      <c r="O351" s="42" t="s">
        <v>108</v>
      </c>
      <c r="P351" s="40">
        <f>Q351/Q$314</f>
        <v>0.34263830465577066</v>
      </c>
      <c r="Q351" s="41">
        <f>Q330+Q349</f>
        <v>44019.859999999986</v>
      </c>
      <c r="R351" s="44"/>
      <c r="S351" s="281">
        <f>L351-Q351</f>
        <v>17273.610000000015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74350.717849441309</v>
      </c>
      <c r="G353" s="307"/>
      <c r="H353" s="305"/>
      <c r="I353" s="306"/>
      <c r="J353" s="308"/>
      <c r="K353" s="309"/>
      <c r="L353" s="306">
        <f>L314-L351</f>
        <v>81760.350000000006</v>
      </c>
      <c r="M353" s="308"/>
      <c r="N353" s="306">
        <f>L353-F353</f>
        <v>7409.6321505586966</v>
      </c>
      <c r="O353" s="308"/>
      <c r="P353" s="309"/>
      <c r="Q353" s="306">
        <f>Q314-Q351</f>
        <v>84453.399999999878</v>
      </c>
      <c r="R353" s="308"/>
      <c r="S353" s="310">
        <f>L353-Q353</f>
        <v>-2693.0499999998719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300" t="s">
        <v>77</v>
      </c>
      <c r="E358" s="1301"/>
      <c r="F358" s="1302"/>
      <c r="G358" s="1303"/>
      <c r="H358" s="1301"/>
      <c r="I358" s="1302"/>
      <c r="J358" s="1303" t="s">
        <v>78</v>
      </c>
      <c r="K358" s="1301"/>
      <c r="L358" s="1302"/>
      <c r="M358" s="1303"/>
      <c r="N358" s="1302"/>
      <c r="O358" s="1300" t="s">
        <v>79</v>
      </c>
      <c r="P358" s="1301"/>
      <c r="Q358" s="1302"/>
      <c r="R358" s="1303" t="s">
        <v>80</v>
      </c>
      <c r="S358" s="130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115307.54075850762</v>
      </c>
      <c r="G401" s="25"/>
      <c r="H401" s="25"/>
      <c r="I401" s="25"/>
      <c r="J401" s="25"/>
      <c r="K401" s="25"/>
      <c r="L401" s="37">
        <f>L353+L289+L233</f>
        <v>126431.25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7" t="s">
        <v>186</v>
      </c>
      <c r="Y404" s="1298"/>
      <c r="Z404" s="1308"/>
      <c r="AA404" s="1297"/>
      <c r="AB404" s="1298"/>
      <c r="AC404" s="1308"/>
      <c r="AD404" s="1297" t="s">
        <v>78</v>
      </c>
      <c r="AE404" s="1298"/>
      <c r="AF404" s="1308"/>
      <c r="AG404" s="1297" t="s">
        <v>2442</v>
      </c>
      <c r="AH404" s="1298"/>
      <c r="AI404" s="1308"/>
      <c r="AJ404" s="1297" t="s">
        <v>2335</v>
      </c>
      <c r="AK404" s="1298"/>
      <c r="AL404" s="1298"/>
      <c r="AM404" s="1297" t="s">
        <v>187</v>
      </c>
      <c r="AN404" s="1298"/>
      <c r="AO404" s="1299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3866436.0737336539</v>
      </c>
      <c r="AA406" s="388"/>
      <c r="AB406" s="388"/>
      <c r="AC406" s="389"/>
      <c r="AD406" s="390"/>
      <c r="AE406" s="391"/>
      <c r="AF406" s="391">
        <f>L5+L93+K194+K250+J314+J362</f>
        <v>3549743.8400000003</v>
      </c>
      <c r="AG406" s="390"/>
      <c r="AH406" s="391"/>
      <c r="AI406" s="392"/>
      <c r="AJ406" s="390"/>
      <c r="AK406" s="391"/>
      <c r="AL406" s="391">
        <f>Q5+Q93+P194+P250+O314+O362</f>
        <v>4910909.9400000004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435746.48280109488</v>
      </c>
      <c r="AA407" s="81"/>
      <c r="AB407" s="81"/>
      <c r="AC407" s="82"/>
      <c r="AD407" s="83"/>
      <c r="AE407" s="84"/>
      <c r="AF407" s="84">
        <f>L27+L108+L194+L250+L314+L362</f>
        <v>429977.31000000011</v>
      </c>
      <c r="AG407" s="83"/>
      <c r="AH407" s="84">
        <f>AF407-Z407</f>
        <v>-5769.17280109477</v>
      </c>
      <c r="AI407" s="85">
        <f>AH407/Z407</f>
        <v>-1.3239746111107965E-2</v>
      </c>
      <c r="AJ407" s="83">
        <f>+AL407/AL406</f>
        <v>0.10090271172840921</v>
      </c>
      <c r="AK407" s="84"/>
      <c r="AL407" s="84">
        <f>Q27+Q108+Q194+Q250+Q314+Q362</f>
        <v>495524.12999999942</v>
      </c>
      <c r="AM407" s="86"/>
      <c r="AN407" s="84">
        <f>AF407-AL407</f>
        <v>-65546.819999999308</v>
      </c>
      <c r="AO407" s="396">
        <f>IF(AL407=0,0,AN407/AL407)</f>
        <v>-0.13227775608021225</v>
      </c>
      <c r="AP407" s="79"/>
      <c r="AQ407" s="79" t="s">
        <v>2358</v>
      </c>
      <c r="AR407" s="101">
        <f>W27+W108+W194+W314</f>
        <v>0</v>
      </c>
      <c r="AS407" s="101">
        <f>AF407-AR407</f>
        <v>429977.31000000011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924.49230415952172</v>
      </c>
      <c r="Z409" s="87">
        <f t="shared" ref="Z409:Z414" si="62">+SUMIF($C:$C,$V409,F:F)</f>
        <v>33281.722949742783</v>
      </c>
      <c r="AA409" s="398"/>
      <c r="AB409" s="404"/>
      <c r="AC409" s="87"/>
      <c r="AD409" s="405"/>
      <c r="AE409" s="404">
        <f t="shared" ref="AE409:AE414" si="63">IF(AF409=0,0,AF409/(J$13+J$97))</f>
        <v>851.1648148148148</v>
      </c>
      <c r="AF409" s="87">
        <f t="shared" ref="AF409:AF415" si="64">+SUMIF($C:$C,$V409,L:L)</f>
        <v>22981.45</v>
      </c>
      <c r="AG409" s="399">
        <f t="shared" ref="AG409:AG418" si="65">AE409-Y409</f>
        <v>-73.327489344706919</v>
      </c>
      <c r="AH409" s="400">
        <f t="shared" ref="AH409:AH418" si="66">AF409-Z409</f>
        <v>-10300.272949742783</v>
      </c>
      <c r="AI409" s="401">
        <f t="shared" ref="AI409:AI418" si="67">IF(Z409=0,0,AH409/Z409)</f>
        <v>-0.30948737135083892</v>
      </c>
      <c r="AJ409" s="405"/>
      <c r="AK409" s="400">
        <f t="shared" ref="AK409:AK418" si="68">AL409/(O$13+O$97)</f>
        <v>1334.7641025641026</v>
      </c>
      <c r="AL409" s="87">
        <f t="shared" ref="AL409:AL414" si="69">+SUMIF($C:$C,$V409,Q:Q)</f>
        <v>52055.8</v>
      </c>
      <c r="AM409" s="402">
        <f t="shared" ref="AM409:AM414" si="70">AE409-Y409</f>
        <v>-73.327489344706919</v>
      </c>
      <c r="AN409" s="400">
        <f t="shared" ref="AN409:AN414" si="71">AF409-AL409</f>
        <v>-29074.350000000002</v>
      </c>
      <c r="AO409" s="212">
        <f t="shared" ref="AO409:AO431" si="72">IF(AL409=0,0,AN409/AL409)</f>
        <v>-0.55852277748108758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464.86458333333331</v>
      </c>
      <c r="Z410" s="389">
        <f t="shared" si="62"/>
        <v>16735.125</v>
      </c>
      <c r="AA410" s="388"/>
      <c r="AB410" s="407"/>
      <c r="AC410" s="389"/>
      <c r="AD410" s="408"/>
      <c r="AE410" s="407">
        <f t="shared" si="63"/>
        <v>306.2166666666667</v>
      </c>
      <c r="AF410" s="389">
        <f t="shared" si="64"/>
        <v>8267.85</v>
      </c>
      <c r="AG410" s="390">
        <f t="shared" si="65"/>
        <v>-158.64791666666662</v>
      </c>
      <c r="AH410" s="391">
        <f t="shared" si="66"/>
        <v>-8467.2749999999996</v>
      </c>
      <c r="AI410" s="409">
        <f t="shared" si="67"/>
        <v>-0.50595827637977009</v>
      </c>
      <c r="AJ410" s="408"/>
      <c r="AK410" s="391">
        <f t="shared" si="68"/>
        <v>832.63256410256406</v>
      </c>
      <c r="AL410" s="389">
        <f t="shared" si="69"/>
        <v>32472.67</v>
      </c>
      <c r="AM410" s="393">
        <f t="shared" si="70"/>
        <v>-158.64791666666662</v>
      </c>
      <c r="AN410" s="391">
        <f t="shared" si="71"/>
        <v>-24204.82</v>
      </c>
      <c r="AO410" s="213">
        <f t="shared" si="72"/>
        <v>-0.74539050838751486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120.83333333333333</v>
      </c>
      <c r="Z411" s="87">
        <f t="shared" si="62"/>
        <v>4350</v>
      </c>
      <c r="AA411" s="398"/>
      <c r="AB411" s="404"/>
      <c r="AC411" s="87"/>
      <c r="AD411" s="405"/>
      <c r="AE411" s="404">
        <f t="shared" si="63"/>
        <v>107.88222222222221</v>
      </c>
      <c r="AF411" s="87">
        <f t="shared" si="64"/>
        <v>2912.8199999999997</v>
      </c>
      <c r="AG411" s="399">
        <f t="shared" si="65"/>
        <v>-12.951111111111118</v>
      </c>
      <c r="AH411" s="400">
        <f t="shared" si="66"/>
        <v>-1437.1800000000003</v>
      </c>
      <c r="AI411" s="401">
        <f t="shared" si="67"/>
        <v>-0.33038620689655179</v>
      </c>
      <c r="AJ411" s="405"/>
      <c r="AK411" s="400">
        <f t="shared" si="68"/>
        <v>100.09282051282051</v>
      </c>
      <c r="AL411" s="87">
        <f t="shared" si="69"/>
        <v>3903.62</v>
      </c>
      <c r="AM411" s="402">
        <f t="shared" si="70"/>
        <v>-12.951111111111118</v>
      </c>
      <c r="AN411" s="400">
        <f t="shared" si="71"/>
        <v>-990.80000000000018</v>
      </c>
      <c r="AO411" s="212">
        <f t="shared" si="72"/>
        <v>-0.25381568902710822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68.583333333333329</v>
      </c>
      <c r="Z412" s="87">
        <f t="shared" si="62"/>
        <v>2469</v>
      </c>
      <c r="AA412" s="398"/>
      <c r="AB412" s="404"/>
      <c r="AC412" s="87"/>
      <c r="AD412" s="405"/>
      <c r="AE412" s="404">
        <f t="shared" si="63"/>
        <v>112.76444444444444</v>
      </c>
      <c r="AF412" s="87">
        <f t="shared" si="64"/>
        <v>3044.64</v>
      </c>
      <c r="AG412" s="399">
        <f t="shared" si="65"/>
        <v>44.181111111111107</v>
      </c>
      <c r="AH412" s="400">
        <f t="shared" si="66"/>
        <v>575.63999999999987</v>
      </c>
      <c r="AI412" s="401">
        <f t="shared" si="67"/>
        <v>0.23314702308626969</v>
      </c>
      <c r="AJ412" s="405"/>
      <c r="AK412" s="400">
        <f t="shared" si="68"/>
        <v>100.06769230769231</v>
      </c>
      <c r="AL412" s="87">
        <f t="shared" si="69"/>
        <v>3902.6400000000003</v>
      </c>
      <c r="AM412" s="402">
        <f t="shared" si="70"/>
        <v>44.181111111111107</v>
      </c>
      <c r="AN412" s="400">
        <f t="shared" si="71"/>
        <v>-858.00000000000045</v>
      </c>
      <c r="AO412" s="214">
        <f t="shared" si="72"/>
        <v>-0.21985117766435039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88.472222222222229</v>
      </c>
      <c r="Z413" s="389">
        <f t="shared" si="62"/>
        <v>3185</v>
      </c>
      <c r="AA413" s="388"/>
      <c r="AB413" s="407"/>
      <c r="AC413" s="389"/>
      <c r="AD413" s="408"/>
      <c r="AE413" s="407">
        <f t="shared" si="63"/>
        <v>177.5137037037037</v>
      </c>
      <c r="AF413" s="389">
        <f t="shared" si="64"/>
        <v>4792.87</v>
      </c>
      <c r="AG413" s="390">
        <f t="shared" si="65"/>
        <v>89.041481481481469</v>
      </c>
      <c r="AH413" s="391">
        <f t="shared" si="66"/>
        <v>1607.87</v>
      </c>
      <c r="AI413" s="409">
        <f t="shared" si="67"/>
        <v>0.50482574568288852</v>
      </c>
      <c r="AJ413" s="408"/>
      <c r="AK413" s="391">
        <f t="shared" si="68"/>
        <v>110.06410256410257</v>
      </c>
      <c r="AL413" s="389">
        <f t="shared" si="69"/>
        <v>4292.5</v>
      </c>
      <c r="AM413" s="393">
        <f t="shared" si="70"/>
        <v>89.041481481481469</v>
      </c>
      <c r="AN413" s="391">
        <f t="shared" si="71"/>
        <v>500.36999999999989</v>
      </c>
      <c r="AO413" s="213">
        <f t="shared" si="72"/>
        <v>0.1165684333139196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489.39950980392155</v>
      </c>
      <c r="Z414" s="87">
        <f t="shared" si="62"/>
        <v>17618.382352941175</v>
      </c>
      <c r="AA414" s="401"/>
      <c r="AB414" s="404"/>
      <c r="AC414" s="87"/>
      <c r="AD414" s="405"/>
      <c r="AE414" s="404">
        <f t="shared" si="63"/>
        <v>577.05962962962963</v>
      </c>
      <c r="AF414" s="87">
        <f t="shared" si="64"/>
        <v>15580.61</v>
      </c>
      <c r="AG414" s="399">
        <f t="shared" si="65"/>
        <v>87.66011982570808</v>
      </c>
      <c r="AH414" s="400">
        <f t="shared" si="66"/>
        <v>-2037.7723529411742</v>
      </c>
      <c r="AI414" s="401">
        <f t="shared" si="67"/>
        <v>-0.11566171695672121</v>
      </c>
      <c r="AJ414" s="405"/>
      <c r="AK414" s="400">
        <f t="shared" si="68"/>
        <v>501.10641025640751</v>
      </c>
      <c r="AL414" s="87">
        <f t="shared" si="69"/>
        <v>19543.149999999892</v>
      </c>
      <c r="AM414" s="402">
        <f t="shared" si="70"/>
        <v>87.66011982570808</v>
      </c>
      <c r="AN414" s="400">
        <f t="shared" si="71"/>
        <v>-3962.5399999998917</v>
      </c>
      <c r="AO414" s="212">
        <f t="shared" si="72"/>
        <v>-0.20275851129423422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788.61292276229358</v>
      </c>
      <c r="Z415" s="87">
        <f>+SUMIF($C:$C,$V415,F:F)</f>
        <v>28390.065219442567</v>
      </c>
      <c r="AA415" s="398"/>
      <c r="AB415" s="404"/>
      <c r="AC415" s="87"/>
      <c r="AD415" s="405"/>
      <c r="AE415" s="404">
        <f>IF(AF415=0,0,AF415/(J$13+J$13))</f>
        <v>1449.9466666666667</v>
      </c>
      <c r="AF415" s="87">
        <f t="shared" si="64"/>
        <v>26099.040000000001</v>
      </c>
      <c r="AG415" s="399">
        <f t="shared" si="65"/>
        <v>661.33374390437314</v>
      </c>
      <c r="AH415" s="400">
        <f t="shared" si="66"/>
        <v>-2291.0252194425666</v>
      </c>
      <c r="AI415" s="401">
        <f t="shared" si="67"/>
        <v>-8.0698131608150994E-2</v>
      </c>
      <c r="AJ415" s="405"/>
      <c r="AK415" s="400">
        <f t="shared" si="68"/>
        <v>985.48846153846148</v>
      </c>
      <c r="AL415" s="87">
        <f>IFERROR(SUMIF($C:$C,$V415,Q:Q),0)</f>
        <v>38434.049999999996</v>
      </c>
      <c r="AM415" s="402">
        <f>AE415-Y415</f>
        <v>661.33374390437314</v>
      </c>
      <c r="AN415" s="400">
        <f>AF415-AL415</f>
        <v>-12335.009999999995</v>
      </c>
      <c r="AO415" s="213">
        <f t="shared" si="72"/>
        <v>-0.32093963555753285</v>
      </c>
      <c r="AP415" s="79"/>
      <c r="AQ415" s="79">
        <v>26099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0.24332794344211767</v>
      </c>
      <c r="Y419" s="88"/>
      <c r="Z419" s="90">
        <f>SUM(Z409:Z418)</f>
        <v>106029.29552212651</v>
      </c>
      <c r="AA419" s="89"/>
      <c r="AB419" s="88"/>
      <c r="AC419" s="90"/>
      <c r="AD419" s="91">
        <f>AF419/AF407</f>
        <v>0.1946132459873289</v>
      </c>
      <c r="AE419" s="88"/>
      <c r="AF419" s="90">
        <f>SUM(AF409:AF418)</f>
        <v>83679.28</v>
      </c>
      <c r="AG419" s="92"/>
      <c r="AH419" s="93">
        <f t="shared" ref="AH419:AH451" si="73">AF419-Z419</f>
        <v>-22350.015522126516</v>
      </c>
      <c r="AI419" s="89">
        <f>AH419/Z419</f>
        <v>-0.21079094614433655</v>
      </c>
      <c r="AJ419" s="91">
        <f>IF($AL$407=0,0,AL419/$AL$407)</f>
        <v>0.31200181916468944</v>
      </c>
      <c r="AK419" s="88"/>
      <c r="AL419" s="90">
        <f>SUM(AL409:AL418)</f>
        <v>154604.42999999988</v>
      </c>
      <c r="AM419" s="94"/>
      <c r="AN419" s="93">
        <f t="shared" ref="AN419:AN424" si="74">AF419-AL419</f>
        <v>-70925.149999999878</v>
      </c>
      <c r="AO419" s="396">
        <f t="shared" si="72"/>
        <v>-0.45875237857026435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13380.798880047158</v>
      </c>
      <c r="AA420" s="398"/>
      <c r="AB420" s="398"/>
      <c r="AC420" s="87"/>
      <c r="AD420" s="405"/>
      <c r="AE420" s="404"/>
      <c r="AF420" s="87">
        <f>SUMIFS(BV_Data_An_Cour!$O:$O,BV_Data_An_Cour!$V:$V,$V420)</f>
        <v>9774.1</v>
      </c>
      <c r="AG420" s="399"/>
      <c r="AH420" s="400">
        <f t="shared" si="73"/>
        <v>-3606.6988800471572</v>
      </c>
      <c r="AI420" s="401">
        <f t="shared" ref="AI420:AI432" si="75">IF(Z420=0,0,AH420/Z420)</f>
        <v>-0.26954286604107797</v>
      </c>
      <c r="AJ420" s="405"/>
      <c r="AK420" s="398"/>
      <c r="AL420" s="87">
        <f>+INDEX('Réel 2024'!$A$2:$AO$501,MATCH($A420,'Réel 2024'!$A$2:$A$501,0),MATCH(F$2,'Réel 2024'!$A$2:$AO$2,0))</f>
        <v>13343.38</v>
      </c>
      <c r="AM420" s="402"/>
      <c r="AN420" s="400">
        <f t="shared" si="74"/>
        <v>-3569.2799999999988</v>
      </c>
      <c r="AO420" s="212">
        <f t="shared" si="72"/>
        <v>-0.26749444293724672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31195.518272914826</v>
      </c>
      <c r="AA421" s="398"/>
      <c r="AB421" s="398"/>
      <c r="AC421" s="87"/>
      <c r="AD421" s="405"/>
      <c r="AE421" s="404"/>
      <c r="AF421" s="87">
        <f t="shared" ref="AF421:AF432" si="77">+SUMIF($C:$C,$V421,L:L)</f>
        <v>31470.15</v>
      </c>
      <c r="AG421" s="399"/>
      <c r="AH421" s="400">
        <f t="shared" si="73"/>
        <v>274.63172708517595</v>
      </c>
      <c r="AI421" s="401">
        <f t="shared" si="75"/>
        <v>8.8035635337920318E-3</v>
      </c>
      <c r="AJ421" s="405"/>
      <c r="AK421" s="398"/>
      <c r="AL421" s="87">
        <f t="shared" ref="AL421:AL429" si="78">+SUMIF($C:$C,$V421,Q:Q)</f>
        <v>32577.440000000002</v>
      </c>
      <c r="AM421" s="402"/>
      <c r="AN421" s="400">
        <f t="shared" si="74"/>
        <v>-1107.2900000000009</v>
      </c>
      <c r="AO421" s="212">
        <f t="shared" si="72"/>
        <v>-3.3989472469291654E-2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19779.811302681992</v>
      </c>
      <c r="AA422" s="388"/>
      <c r="AB422" s="388"/>
      <c r="AC422" s="389"/>
      <c r="AD422" s="408"/>
      <c r="AE422" s="407"/>
      <c r="AF422" s="389">
        <f t="shared" si="77"/>
        <v>17818.32</v>
      </c>
      <c r="AG422" s="390"/>
      <c r="AH422" s="391">
        <f t="shared" si="73"/>
        <v>-1961.4913026819922</v>
      </c>
      <c r="AI422" s="409">
        <f t="shared" si="75"/>
        <v>-9.9166330389412208E-2</v>
      </c>
      <c r="AJ422" s="408"/>
      <c r="AK422" s="388"/>
      <c r="AL422" s="389">
        <f t="shared" si="78"/>
        <v>23025.23</v>
      </c>
      <c r="AM422" s="393"/>
      <c r="AN422" s="391">
        <f t="shared" si="74"/>
        <v>-5206.91</v>
      </c>
      <c r="AO422" s="394">
        <f t="shared" si="72"/>
        <v>-0.22613932629554623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24794.256995455758</v>
      </c>
      <c r="AA423" s="398"/>
      <c r="AB423" s="398"/>
      <c r="AC423" s="87"/>
      <c r="AD423" s="405"/>
      <c r="AE423" s="404"/>
      <c r="AF423" s="87">
        <f t="shared" si="77"/>
        <v>35652.32</v>
      </c>
      <c r="AG423" s="399"/>
      <c r="AH423" s="400">
        <f t="shared" si="73"/>
        <v>10858.063004544241</v>
      </c>
      <c r="AI423" s="401">
        <f t="shared" si="75"/>
        <v>0.43792653300860296</v>
      </c>
      <c r="AJ423" s="405"/>
      <c r="AK423" s="398"/>
      <c r="AL423" s="87">
        <f t="shared" si="78"/>
        <v>29715.16</v>
      </c>
      <c r="AM423" s="402"/>
      <c r="AN423" s="400">
        <f t="shared" si="74"/>
        <v>5937.16</v>
      </c>
      <c r="AO423" s="212">
        <f t="shared" si="72"/>
        <v>0.19980239042966619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13849.198777777778</v>
      </c>
      <c r="AA424" s="398"/>
      <c r="AB424" s="398"/>
      <c r="AC424" s="87"/>
      <c r="AD424" s="405"/>
      <c r="AE424" s="404"/>
      <c r="AF424" s="87">
        <f t="shared" si="77"/>
        <v>18518</v>
      </c>
      <c r="AG424" s="399"/>
      <c r="AH424" s="400">
        <f t="shared" si="73"/>
        <v>4668.8012222222223</v>
      </c>
      <c r="AI424" s="401">
        <f t="shared" si="75"/>
        <v>0.33711706338663522</v>
      </c>
      <c r="AJ424" s="405"/>
      <c r="AK424" s="398"/>
      <c r="AL424" s="87">
        <f t="shared" si="78"/>
        <v>15341.02</v>
      </c>
      <c r="AM424" s="402"/>
      <c r="AN424" s="400">
        <f t="shared" si="74"/>
        <v>3176.9799999999996</v>
      </c>
      <c r="AO424" s="212">
        <f t="shared" si="72"/>
        <v>0.20709053244178025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18586.731165233068</v>
      </c>
      <c r="AA428" s="388"/>
      <c r="AB428" s="388"/>
      <c r="AC428" s="389"/>
      <c r="AD428" s="408"/>
      <c r="AE428" s="407"/>
      <c r="AF428" s="389">
        <f t="shared" si="77"/>
        <v>16689.2</v>
      </c>
      <c r="AG428" s="390"/>
      <c r="AH428" s="391">
        <f t="shared" si="73"/>
        <v>-1897.5311652330674</v>
      </c>
      <c r="AI428" s="409">
        <f t="shared" si="75"/>
        <v>-0.1020906338163671</v>
      </c>
      <c r="AJ428" s="408"/>
      <c r="AK428" s="388"/>
      <c r="AL428" s="389">
        <f t="shared" si="78"/>
        <v>17886.45</v>
      </c>
      <c r="AM428" s="393"/>
      <c r="AN428" s="391">
        <f t="shared" si="79"/>
        <v>-1197.25</v>
      </c>
      <c r="AO428" s="213">
        <f t="shared" si="72"/>
        <v>-6.6936144399811021E-2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23536.458486409265</v>
      </c>
      <c r="AA429" s="398"/>
      <c r="AB429" s="398"/>
      <c r="AC429" s="87"/>
      <c r="AD429" s="405"/>
      <c r="AE429" s="404"/>
      <c r="AF429" s="87">
        <f t="shared" si="77"/>
        <v>16234.37</v>
      </c>
      <c r="AG429" s="399"/>
      <c r="AH429" s="400">
        <f t="shared" si="73"/>
        <v>-7302.0884864092641</v>
      </c>
      <c r="AI429" s="401">
        <f>IF(Z429=0,0,AH429/Z429)</f>
        <v>-0.31024584648645137</v>
      </c>
      <c r="AJ429" s="405"/>
      <c r="AK429" s="398"/>
      <c r="AL429" s="87">
        <f t="shared" si="78"/>
        <v>22912.42</v>
      </c>
      <c r="AM429" s="402"/>
      <c r="AN429" s="400">
        <f t="shared" si="79"/>
        <v>-6678.0499999999975</v>
      </c>
      <c r="AO429" s="212">
        <f t="shared" si="72"/>
        <v>-0.29145982833764383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14142.078060503422</v>
      </c>
      <c r="AA430" s="398"/>
      <c r="AB430" s="398"/>
      <c r="AC430" s="87"/>
      <c r="AD430" s="405"/>
      <c r="AE430" s="404"/>
      <c r="AF430" s="87">
        <f t="shared" si="77"/>
        <v>13522.46</v>
      </c>
      <c r="AG430" s="399"/>
      <c r="AH430" s="400">
        <f t="shared" si="73"/>
        <v>-619.61806050342238</v>
      </c>
      <c r="AI430" s="401">
        <f t="shared" si="75"/>
        <v>-4.3813791569565524E-2</v>
      </c>
      <c r="AJ430" s="405"/>
      <c r="AK430" s="398"/>
      <c r="AL430" s="87">
        <f>IFERROR(SUMIF($C:$C,$V430,Q:Q),0)</f>
        <v>7969.4400000000005</v>
      </c>
      <c r="AM430" s="402"/>
      <c r="AN430" s="400">
        <f t="shared" si="79"/>
        <v>5553.0199999999986</v>
      </c>
      <c r="AO430" s="212">
        <f t="shared" si="72"/>
        <v>0.69678923487723077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3030.4452986793049</v>
      </c>
      <c r="AA431" s="398"/>
      <c r="AB431" s="398"/>
      <c r="AC431" s="87"/>
      <c r="AD431" s="405"/>
      <c r="AE431" s="404"/>
      <c r="AF431" s="87">
        <f t="shared" si="77"/>
        <v>2950.44</v>
      </c>
      <c r="AG431" s="399"/>
      <c r="AH431" s="400">
        <f t="shared" si="73"/>
        <v>-80.005298679304815</v>
      </c>
      <c r="AI431" s="97">
        <f t="shared" si="75"/>
        <v>-2.6400509098175057E-2</v>
      </c>
      <c r="AJ431" s="405"/>
      <c r="AK431" s="398"/>
      <c r="AL431" s="87">
        <f>IFERROR(SUMIF($C:$C,$V431,Q:Q),0)</f>
        <v>1966.2600000000002</v>
      </c>
      <c r="AM431" s="402"/>
      <c r="AN431" s="400">
        <f t="shared" si="79"/>
        <v>984.17999999999984</v>
      </c>
      <c r="AO431" s="213">
        <f t="shared" si="72"/>
        <v>0.5005340087272282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0.37245348762524716</v>
      </c>
      <c r="Y433" s="88"/>
      <c r="Z433" s="90">
        <f>SUM(Z420:Z432)</f>
        <v>162295.29723970257</v>
      </c>
      <c r="AA433" s="89"/>
      <c r="AB433" s="88"/>
      <c r="AC433" s="90"/>
      <c r="AD433" s="91">
        <f>AF433/AF407</f>
        <v>0.37822777206546071</v>
      </c>
      <c r="AE433" s="98"/>
      <c r="AF433" s="90">
        <f>SUM(AF420:AF432)</f>
        <v>162629.35999999999</v>
      </c>
      <c r="AG433" s="99"/>
      <c r="AH433" s="93">
        <f t="shared" si="73"/>
        <v>334.06276029741275</v>
      </c>
      <c r="AI433" s="89">
        <f>AH433/Z433</f>
        <v>2.0583637725744923E-3</v>
      </c>
      <c r="AJ433" s="91">
        <f>IF($AL$407=0,0,AL433/$AL$407)</f>
        <v>0.33244960240382287</v>
      </c>
      <c r="AK433" s="88"/>
      <c r="AL433" s="90">
        <f>SUM(AL420:AL432)</f>
        <v>164736.80000000005</v>
      </c>
      <c r="AM433" s="100"/>
      <c r="AN433" s="93">
        <f t="shared" ref="AN433:AN447" si="80">AF433-AL433</f>
        <v>-2107.4400000000605</v>
      </c>
      <c r="AO433" s="396">
        <f>IF(AL433=0,0,AN433/AL433)</f>
        <v>-1.2792770042880887E-2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10405.950418322167</v>
      </c>
      <c r="AA434" s="412"/>
      <c r="AB434" s="412"/>
      <c r="AC434" s="238"/>
      <c r="AD434" s="413"/>
      <c r="AE434" s="414"/>
      <c r="AF434" s="238">
        <f t="shared" ref="AF434:AF451" si="82">+SUMIF($C:$C,$V434,L:L)</f>
        <v>22662.58</v>
      </c>
      <c r="AG434" s="413"/>
      <c r="AH434" s="415">
        <f t="shared" si="73"/>
        <v>12256.629581677835</v>
      </c>
      <c r="AI434" s="416">
        <f t="shared" ref="AI434:AI451" si="83">IF(Z434=0,0,AH434/Z434)</f>
        <v>1.177848162729769</v>
      </c>
      <c r="AJ434" s="413"/>
      <c r="AK434" s="412"/>
      <c r="AL434" s="238">
        <f t="shared" ref="AL434:AL448" si="84">+SUMIF($C:$C,$V434,Q:Q)</f>
        <v>15355.34</v>
      </c>
      <c r="AM434" s="417"/>
      <c r="AN434" s="415">
        <f t="shared" si="80"/>
        <v>7307.2400000000016</v>
      </c>
      <c r="AO434" s="211">
        <f t="shared" ref="AO434:AO447" si="85">IF(AL434=0,0,AN434/AL434)</f>
        <v>0.47587614471577977</v>
      </c>
      <c r="AP434" s="79"/>
      <c r="AQ434" s="79">
        <v>22663</v>
      </c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8563.75</v>
      </c>
      <c r="AG435" s="399"/>
      <c r="AH435" s="400">
        <f t="shared" si="73"/>
        <v>5230.4166666666661</v>
      </c>
      <c r="AI435" s="401">
        <f t="shared" si="83"/>
        <v>1.5691249999999997</v>
      </c>
      <c r="AJ435" s="405"/>
      <c r="AK435" s="398"/>
      <c r="AL435" s="87">
        <f t="shared" si="84"/>
        <v>4650.79</v>
      </c>
      <c r="AM435" s="402"/>
      <c r="AN435" s="400">
        <f t="shared" si="80"/>
        <v>3912.96</v>
      </c>
      <c r="AO435" s="212">
        <f t="shared" si="85"/>
        <v>0.84135383450983603</v>
      </c>
      <c r="AP435" s="79"/>
      <c r="AQ435" s="79">
        <v>8564</v>
      </c>
      <c r="AR435" s="79" t="s">
        <v>3017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20211.333333333332</v>
      </c>
      <c r="AA436" s="388"/>
      <c r="AB436" s="388"/>
      <c r="AC436" s="389"/>
      <c r="AD436" s="408"/>
      <c r="AE436" s="407"/>
      <c r="AF436" s="389">
        <f t="shared" si="82"/>
        <v>24582.52</v>
      </c>
      <c r="AG436" s="390"/>
      <c r="AH436" s="391">
        <f t="shared" si="73"/>
        <v>4371.1866666666683</v>
      </c>
      <c r="AI436" s="409">
        <f t="shared" si="83"/>
        <v>0.21627403766863484</v>
      </c>
      <c r="AJ436" s="408"/>
      <c r="AK436" s="388"/>
      <c r="AL436" s="389">
        <f t="shared" si="84"/>
        <v>26018.779999999992</v>
      </c>
      <c r="AM436" s="393"/>
      <c r="AN436" s="391">
        <f t="shared" si="80"/>
        <v>-1436.2599999999911</v>
      </c>
      <c r="AO436" s="394">
        <f t="shared" si="85"/>
        <v>-5.5200897198100431E-2</v>
      </c>
      <c r="AP436" s="79"/>
      <c r="AQ436" s="1017">
        <v>24583</v>
      </c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13829.100000000002</v>
      </c>
      <c r="AG437" s="399"/>
      <c r="AH437" s="400">
        <f>AF437-Z437</f>
        <v>-334.89999999999782</v>
      </c>
      <c r="AI437" s="401">
        <f t="shared" si="83"/>
        <v>-2.36444507201354E-2</v>
      </c>
      <c r="AJ437" s="405"/>
      <c r="AK437" s="398"/>
      <c r="AL437" s="87">
        <f t="shared" si="84"/>
        <v>13448.39</v>
      </c>
      <c r="AM437" s="402"/>
      <c r="AN437" s="400">
        <f t="shared" si="80"/>
        <v>380.71000000000276</v>
      </c>
      <c r="AO437" s="212">
        <f t="shared" si="85"/>
        <v>2.8308964864939432E-2</v>
      </c>
      <c r="AP437" s="1017"/>
      <c r="AQ437" s="1171">
        <v>13829</v>
      </c>
      <c r="AR437" s="1171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2800.5899999999997</v>
      </c>
      <c r="AG438" s="399"/>
      <c r="AH438" s="400">
        <f t="shared" si="73"/>
        <v>967.25666666666621</v>
      </c>
      <c r="AI438" s="401">
        <f t="shared" si="83"/>
        <v>0.52759454545454521</v>
      </c>
      <c r="AJ438" s="405"/>
      <c r="AK438" s="398"/>
      <c r="AL438" s="87">
        <f t="shared" si="84"/>
        <v>1920.1400000000003</v>
      </c>
      <c r="AM438" s="402"/>
      <c r="AN438" s="400">
        <f t="shared" si="80"/>
        <v>880.44999999999936</v>
      </c>
      <c r="AO438" s="212">
        <f t="shared" si="85"/>
        <v>0.45853427354255377</v>
      </c>
      <c r="AP438" s="1017"/>
      <c r="AQ438" s="79">
        <v>2801</v>
      </c>
      <c r="AR438" s="1171" t="s">
        <v>3019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9903.2800000000007</v>
      </c>
      <c r="AG439" s="399"/>
      <c r="AH439" s="400">
        <f t="shared" si="73"/>
        <v>-1812.7199999999993</v>
      </c>
      <c r="AI439" s="401">
        <f t="shared" si="83"/>
        <v>-0.15472174803687261</v>
      </c>
      <c r="AJ439" s="405"/>
      <c r="AK439" s="398"/>
      <c r="AL439" s="87">
        <f t="shared" si="84"/>
        <v>14739.76</v>
      </c>
      <c r="AM439" s="402"/>
      <c r="AN439" s="400">
        <f t="shared" si="80"/>
        <v>-4836.4799999999996</v>
      </c>
      <c r="AO439" s="212">
        <f t="shared" si="85"/>
        <v>-0.32812474558608823</v>
      </c>
      <c r="AP439" s="79"/>
      <c r="AQ439" s="1017">
        <v>9903</v>
      </c>
      <c r="AR439" s="1017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3847.89</v>
      </c>
      <c r="AG441" s="399"/>
      <c r="AH441" s="400">
        <f t="shared" si="73"/>
        <v>2680.39</v>
      </c>
      <c r="AI441" s="401">
        <f t="shared" si="83"/>
        <v>2.2958372591006424</v>
      </c>
      <c r="AJ441" s="405"/>
      <c r="AK441" s="398"/>
      <c r="AL441" s="87">
        <f t="shared" si="84"/>
        <v>612.36000000000013</v>
      </c>
      <c r="AM441" s="402"/>
      <c r="AN441" s="400">
        <f t="shared" si="80"/>
        <v>3235.5299999999997</v>
      </c>
      <c r="AO441" s="212">
        <f t="shared" si="85"/>
        <v>5.283705663335291</v>
      </c>
      <c r="AP441" s="79"/>
      <c r="AQ441" s="79">
        <v>3848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2874.18</v>
      </c>
      <c r="AG442" s="399"/>
      <c r="AH442" s="400">
        <f t="shared" si="73"/>
        <v>1814.1799999999998</v>
      </c>
      <c r="AI442" s="97">
        <f t="shared" si="83"/>
        <v>1.7114905660377357</v>
      </c>
      <c r="AJ442" s="405"/>
      <c r="AK442" s="398"/>
      <c r="AL442" s="87">
        <f t="shared" si="84"/>
        <v>2026.62</v>
      </c>
      <c r="AM442" s="402"/>
      <c r="AN442" s="400">
        <f t="shared" si="80"/>
        <v>847.56</v>
      </c>
      <c r="AO442" s="212">
        <f t="shared" si="85"/>
        <v>0.41821357728631908</v>
      </c>
      <c r="AP442" s="79"/>
      <c r="AQ442" s="79">
        <v>2874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1357.94</v>
      </c>
      <c r="AG443" s="399"/>
      <c r="AH443" s="400">
        <f t="shared" si="73"/>
        <v>-217.05999999999995</v>
      </c>
      <c r="AI443" s="401">
        <f t="shared" si="83"/>
        <v>-0.13781587301587298</v>
      </c>
      <c r="AJ443" s="405"/>
      <c r="AK443" s="398"/>
      <c r="AL443" s="87">
        <f t="shared" si="84"/>
        <v>1644.41</v>
      </c>
      <c r="AM443" s="402"/>
      <c r="AN443" s="400">
        <f t="shared" si="80"/>
        <v>-286.47000000000003</v>
      </c>
      <c r="AO443" s="212">
        <f t="shared" si="85"/>
        <v>-0.17420837868901309</v>
      </c>
      <c r="AP443" s="79"/>
      <c r="AQ443" s="79">
        <v>1358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503.67999999999995</v>
      </c>
      <c r="AG444" s="399"/>
      <c r="AH444" s="400">
        <f t="shared" si="73"/>
        <v>-8.32000000000005</v>
      </c>
      <c r="AI444" s="97">
        <f t="shared" si="83"/>
        <v>-1.6250000000000098E-2</v>
      </c>
      <c r="AJ444" s="405"/>
      <c r="AK444" s="398"/>
      <c r="AL444" s="87">
        <f t="shared" si="84"/>
        <v>987.09</v>
      </c>
      <c r="AM444" s="402"/>
      <c r="AN444" s="400">
        <f t="shared" si="80"/>
        <v>-483.41000000000008</v>
      </c>
      <c r="AO444" s="212">
        <f t="shared" si="85"/>
        <v>-0.48973244587626263</v>
      </c>
      <c r="AP444" s="79"/>
      <c r="AQ444" s="79">
        <v>504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1170</v>
      </c>
      <c r="AG445" s="399"/>
      <c r="AH445" s="400">
        <f t="shared" si="73"/>
        <v>220</v>
      </c>
      <c r="AI445" s="401">
        <f t="shared" si="83"/>
        <v>0.23157894736842105</v>
      </c>
      <c r="AJ445" s="405"/>
      <c r="AK445" s="398"/>
      <c r="AL445" s="87">
        <f t="shared" si="84"/>
        <v>933.29</v>
      </c>
      <c r="AM445" s="402"/>
      <c r="AN445" s="400">
        <f t="shared" si="80"/>
        <v>236.71000000000004</v>
      </c>
      <c r="AO445" s="212">
        <f t="shared" si="85"/>
        <v>0.25362963280438028</v>
      </c>
      <c r="AP445" s="79"/>
      <c r="AQ445" s="79">
        <v>1170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1327.49</v>
      </c>
      <c r="AG446" s="399"/>
      <c r="AH446" s="400">
        <f t="shared" si="73"/>
        <v>-413.51000000000022</v>
      </c>
      <c r="AI446" s="97">
        <f t="shared" si="83"/>
        <v>-0.23751292360712245</v>
      </c>
      <c r="AJ446" s="405"/>
      <c r="AK446" s="398"/>
      <c r="AL446" s="87">
        <f t="shared" si="84"/>
        <v>1643.9999999999998</v>
      </c>
      <c r="AM446" s="402"/>
      <c r="AN446" s="400">
        <f t="shared" si="80"/>
        <v>-316.50999999999976</v>
      </c>
      <c r="AO446" s="212">
        <f t="shared" si="85"/>
        <v>-0.19252433090024318</v>
      </c>
      <c r="AP446" s="79"/>
      <c r="AQ446" s="79">
        <v>1327</v>
      </c>
      <c r="AR446" s="1017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2842.5300000000007</v>
      </c>
      <c r="AG447" s="399"/>
      <c r="AH447" s="400">
        <f t="shared" si="73"/>
        <v>260.17553333333444</v>
      </c>
      <c r="AI447" s="401">
        <f t="shared" si="83"/>
        <v>0.10075128596469257</v>
      </c>
      <c r="AJ447" s="405"/>
      <c r="AK447" s="398"/>
      <c r="AL447" s="87">
        <f t="shared" si="84"/>
        <v>2468.7299999999996</v>
      </c>
      <c r="AM447" s="402"/>
      <c r="AN447" s="400">
        <f t="shared" si="80"/>
        <v>373.80000000000109</v>
      </c>
      <c r="AO447" s="212">
        <f t="shared" si="85"/>
        <v>0.15141388487197918</v>
      </c>
      <c r="AP447" s="79"/>
      <c r="AQ447" s="79">
        <v>2843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6379.6195216605292</v>
      </c>
      <c r="AA448" s="398"/>
      <c r="AB448" s="404"/>
      <c r="AC448" s="87"/>
      <c r="AD448" s="405"/>
      <c r="AE448" s="404"/>
      <c r="AF448" s="87">
        <f t="shared" si="82"/>
        <v>10016.199999999999</v>
      </c>
      <c r="AG448" s="399"/>
      <c r="AH448" s="400">
        <f t="shared" si="73"/>
        <v>3636.5804783394697</v>
      </c>
      <c r="AI448" s="401">
        <f t="shared" si="83"/>
        <v>0.57003093460233767</v>
      </c>
      <c r="AJ448" s="405"/>
      <c r="AK448" s="398"/>
      <c r="AL448" s="87">
        <f t="shared" si="84"/>
        <v>10642.349999999999</v>
      </c>
      <c r="AM448" s="402"/>
      <c r="AN448" s="400">
        <f>AF448-AL448</f>
        <v>-626.14999999999964</v>
      </c>
      <c r="AO448" s="212">
        <f>IF(AL448=0,0,AN448/AL448)</f>
        <v>-5.8835689485874802E-2</v>
      </c>
      <c r="AP448" s="79"/>
      <c r="AQ448" s="79">
        <v>10016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0.17815731731811998</v>
      </c>
      <c r="Y452" s="88"/>
      <c r="Z452" s="90">
        <f>+SUM(Z434:Z451)</f>
        <v>77631.42440664937</v>
      </c>
      <c r="AA452" s="89"/>
      <c r="AB452" s="88"/>
      <c r="AC452" s="90"/>
      <c r="AD452" s="91">
        <f>AF452/AF407</f>
        <v>0.24717985700222175</v>
      </c>
      <c r="AE452" s="88"/>
      <c r="AF452" s="90">
        <f>+SUM(AF434:AF451)</f>
        <v>106281.73</v>
      </c>
      <c r="AG452" s="99"/>
      <c r="AH452" s="93">
        <f>+SUM(AH434:AH451)</f>
        <v>28650.30559335064</v>
      </c>
      <c r="AI452" s="89">
        <f>AH452/Z452</f>
        <v>0.36905551859095675</v>
      </c>
      <c r="AJ452" s="91">
        <f>IF($AL$407=0,0,AL452/$AL$407)</f>
        <v>0.19593808680921365</v>
      </c>
      <c r="AK452" s="89"/>
      <c r="AL452" s="90">
        <f>+SUM(AL434:AL451)</f>
        <v>97092.049999999959</v>
      </c>
      <c r="AM452" s="100"/>
      <c r="AN452" s="93">
        <f>+SUM(AN434:AN451)</f>
        <v>9189.680000000013</v>
      </c>
      <c r="AO452" s="551">
        <f>IF(AL452=0,0,AN452/AL452)</f>
        <v>9.4649149956150036E-2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2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6168.3600000000006</v>
      </c>
      <c r="AG454" s="399"/>
      <c r="AH454" s="400">
        <f t="shared" si="86"/>
        <v>235.29000000000087</v>
      </c>
      <c r="AI454" s="401">
        <f t="shared" si="87"/>
        <v>3.9657378052172128E-2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632.85000000000036</v>
      </c>
      <c r="AO454" s="212">
        <f t="shared" si="88"/>
        <v>0.11432550930266594</v>
      </c>
      <c r="AP454" s="79"/>
      <c r="AQ454" s="752">
        <v>6168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2643.58</v>
      </c>
      <c r="AG455" s="390"/>
      <c r="AH455" s="391">
        <f t="shared" si="86"/>
        <v>100.82999999999993</v>
      </c>
      <c r="AI455" s="409">
        <f t="shared" si="87"/>
        <v>3.9653918002162981E-2</v>
      </c>
      <c r="AJ455" s="408"/>
      <c r="AK455" s="388"/>
      <c r="AL455" s="389">
        <f>+INDEX('Réel 2024'!$A$2:$AO$501,MATCH($A455,'Réel 2024'!$A$2:$A$501,0),MATCH(F$2,'Réel 2024'!$A$2:$AO$2,0))</f>
        <v>2372.3599999999901</v>
      </c>
      <c r="AM455" s="393"/>
      <c r="AN455" s="391">
        <f t="shared" si="89"/>
        <v>271.2200000000098</v>
      </c>
      <c r="AO455" s="394">
        <f t="shared" si="88"/>
        <v>0.11432497597329702</v>
      </c>
      <c r="AP455" s="79"/>
      <c r="AQ455" s="752">
        <v>2644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2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7266.5</v>
      </c>
      <c r="AG458" s="399"/>
      <c r="AH458" s="400">
        <f t="shared" si="86"/>
        <v>2266.5</v>
      </c>
      <c r="AI458" s="401">
        <f t="shared" si="87"/>
        <v>0.45329999999999998</v>
      </c>
      <c r="AJ458" s="405"/>
      <c r="AK458" s="398"/>
      <c r="AL458" s="87">
        <f>+INDEX('Réel 2024'!$A$2:$AO$501,MATCH($A458,'Réel 2024'!$A$2:$A$501,0),MATCH(F$2,'Réel 2024'!$A$2:$AO$2,0))</f>
        <v>4522.5</v>
      </c>
      <c r="AM458" s="402"/>
      <c r="AN458" s="400">
        <f t="shared" si="89"/>
        <v>2744</v>
      </c>
      <c r="AO458" s="212">
        <f t="shared" si="88"/>
        <v>0.60674405749032612</v>
      </c>
      <c r="AP458" s="79"/>
      <c r="AQ458" s="79">
        <v>7267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2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0</v>
      </c>
      <c r="AG460" s="390"/>
      <c r="AH460" s="391">
        <f t="shared" si="86"/>
        <v>-433.33333333333331</v>
      </c>
      <c r="AI460" s="409">
        <f t="shared" si="87"/>
        <v>-1</v>
      </c>
      <c r="AJ460" s="408"/>
      <c r="AK460" s="388"/>
      <c r="AL460" s="389">
        <f>+INDEX('Réel 2024'!$A$2:$AO$501,MATCH($A460,'Réel 2024'!$A$2:$A$501,0),MATCH(F$2,'Réel 2024'!$A$2:$AO$2,0))</f>
        <v>371.68</v>
      </c>
      <c r="AM460" s="393"/>
      <c r="AN460" s="391">
        <f t="shared" si="89"/>
        <v>-371.68</v>
      </c>
      <c r="AO460" s="394">
        <f t="shared" si="88"/>
        <v>-1</v>
      </c>
      <c r="AP460" s="79"/>
      <c r="AQ460" s="79">
        <v>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863.42</v>
      </c>
      <c r="AG461" s="399"/>
      <c r="AH461" s="400">
        <f t="shared" si="86"/>
        <v>651.41999999999996</v>
      </c>
      <c r="AI461" s="418">
        <f t="shared" si="87"/>
        <v>3.072735849056603</v>
      </c>
      <c r="AJ461" s="398"/>
      <c r="AK461" s="398"/>
      <c r="AL461" s="87">
        <f>+INDEX('Réel 2024'!$A$2:$AO$501,MATCH($A461,'Réel 2024'!$A$2:$A$501,0),MATCH(F$2,'Réel 2024'!$A$2:$AO$2,0))</f>
        <v>618.86</v>
      </c>
      <c r="AM461" s="402"/>
      <c r="AN461" s="400">
        <f t="shared" si="89"/>
        <v>244.55999999999995</v>
      </c>
      <c r="AO461" s="212">
        <f t="shared" si="88"/>
        <v>0.39517823094076193</v>
      </c>
      <c r="AP461" s="79"/>
      <c r="AQ461" s="79"/>
      <c r="AR461" s="101" t="s">
        <v>3018</v>
      </c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0.17330372050561715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0.1816445151489505</v>
      </c>
      <c r="AE466" s="88"/>
      <c r="AF466" s="90">
        <f>SUM(AF453:AF465)</f>
        <v>78103.02</v>
      </c>
      <c r="AG466" s="99"/>
      <c r="AH466" s="93">
        <f>SUM(AH453:AH465)</f>
        <v>2586.5333333333342</v>
      </c>
      <c r="AI466" s="89">
        <f>IF(Z466=0,0,AH466/Z466)</f>
        <v>3.42512403251811E-2</v>
      </c>
      <c r="AJ466" s="91">
        <f>IF($AL$407=0,0,AL466/$AL$407)</f>
        <v>0.14949421332922794</v>
      </c>
      <c r="AK466" s="89"/>
      <c r="AL466" s="90">
        <f>SUM(AL453:AL465)</f>
        <v>74077.989999999991</v>
      </c>
      <c r="AM466" s="100"/>
      <c r="AN466" s="93">
        <f>SUM(AN453:AN465)</f>
        <v>4025.0300000000107</v>
      </c>
      <c r="AO466" s="551">
        <f t="shared" ref="AO466:AO483" si="90">IF(AL466=0,0,AN466/AL466)</f>
        <v>5.433503257850289E-2</v>
      </c>
      <c r="AP466" s="79"/>
      <c r="AQ466" s="79"/>
      <c r="AR466" s="101">
        <f>SUM(AQ453:AQ461)-AF466</f>
        <v>-863.02000000000407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0.96724246889110199</v>
      </c>
      <c r="Y468" s="88"/>
      <c r="Z468" s="90">
        <f>Z419+Z433+Z452+Z466</f>
        <v>421472.50383514515</v>
      </c>
      <c r="AA468" s="89"/>
      <c r="AB468" s="88"/>
      <c r="AC468" s="90"/>
      <c r="AD468" s="91">
        <f>AF468/AF407</f>
        <v>1.0016653902039618</v>
      </c>
      <c r="AE468" s="88"/>
      <c r="AF468" s="90">
        <f>AF419+AF433+AF452+AF466</f>
        <v>430693.39</v>
      </c>
      <c r="AG468" s="99"/>
      <c r="AH468" s="93">
        <f t="shared" si="91"/>
        <v>9220.8861648548627</v>
      </c>
      <c r="AI468" s="89">
        <f>AH468/Z468</f>
        <v>2.1877788185351049E-2</v>
      </c>
      <c r="AJ468" s="91">
        <f>IF($AL$407=0,0,AL468/$AL$407)</f>
        <v>0.98988372170695393</v>
      </c>
      <c r="AK468" s="89"/>
      <c r="AL468" s="90">
        <f>AL419+AL433+AL452+AL466</f>
        <v>490511.2699999999</v>
      </c>
      <c r="AM468" s="100"/>
      <c r="AN468" s="93">
        <f t="shared" si="92"/>
        <v>-59817.879999999888</v>
      </c>
      <c r="AO468" s="396">
        <f t="shared" si="90"/>
        <v>-0.12195006243179672</v>
      </c>
      <c r="AP468" s="101">
        <f>AF468-AF415</f>
        <v>404594.35000000003</v>
      </c>
      <c r="AQ468" s="79" t="s">
        <v>2358</v>
      </c>
      <c r="AR468" s="1182"/>
      <c r="AS468" s="101">
        <f>AP468-AR468</f>
        <v>404594.35000000003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1085.52</v>
      </c>
      <c r="AG469" s="241"/>
      <c r="AH469" s="400">
        <f t="shared" si="91"/>
        <v>1085.52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2213.87</v>
      </c>
      <c r="AM469" s="243"/>
      <c r="AN469" s="400">
        <f t="shared" si="92"/>
        <v>-1128.3499999999999</v>
      </c>
      <c r="AO469" s="212">
        <f t="shared" si="90"/>
        <v>-0.50967310637029273</v>
      </c>
      <c r="AP469" s="79"/>
      <c r="AQ469" s="79">
        <v>1086</v>
      </c>
      <c r="AR469" s="79" t="s">
        <v>3016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35937.371781818183</v>
      </c>
      <c r="AA470" s="244"/>
      <c r="AB470" s="237"/>
      <c r="AC470" s="87"/>
      <c r="AD470" s="246"/>
      <c r="AE470" s="237"/>
      <c r="AF470" s="87">
        <f t="shared" ref="AF470:AF476" si="93">+SUMIF($C:$C,$V470,L:L)</f>
        <v>31024</v>
      </c>
      <c r="AG470" s="245"/>
      <c r="AH470" s="400">
        <f t="shared" si="91"/>
        <v>-4913.3717818181831</v>
      </c>
      <c r="AI470" s="97">
        <f>IF(Z470=0,0,AH470/Z470)</f>
        <v>-0.13672039824303481</v>
      </c>
      <c r="AJ470" s="246"/>
      <c r="AK470" s="244"/>
      <c r="AL470" s="247">
        <f>+SUMIF($C:$C,$V470,Q:Q)</f>
        <v>76456</v>
      </c>
      <c r="AM470" s="248"/>
      <c r="AN470" s="400">
        <f t="shared" si="92"/>
        <v>-45432</v>
      </c>
      <c r="AO470" s="212">
        <f t="shared" si="90"/>
        <v>-0.59422412891074605</v>
      </c>
      <c r="AP470" s="79"/>
      <c r="AQ470" s="79">
        <v>31024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33242.068898181817</v>
      </c>
      <c r="AA471" s="244"/>
      <c r="AB471" s="237"/>
      <c r="AC471" s="87"/>
      <c r="AD471" s="246"/>
      <c r="AE471" s="237"/>
      <c r="AF471" s="87">
        <f t="shared" si="93"/>
        <v>11409.6</v>
      </c>
      <c r="AG471" s="245"/>
      <c r="AH471" s="400">
        <f t="shared" si="91"/>
        <v>-21832.468898181818</v>
      </c>
      <c r="AI471" s="97">
        <f t="shared" ref="AI471:AI480" si="94">IF(AH471=0,0,AH471/Z471)</f>
        <v>-0.65677226544031231</v>
      </c>
      <c r="AJ471" s="246"/>
      <c r="AK471" s="244"/>
      <c r="AL471" s="247">
        <f>+INDEX('Réel 2024'!$A$2:$AO$501,MATCH($A471,'Réel 2024'!$A$2:$A$501,0),MATCH(F$2,'Réel 2024'!$A$2:$AO$2,0))</f>
        <v>53053.83</v>
      </c>
      <c r="AM471" s="248"/>
      <c r="AN471" s="400">
        <f t="shared" si="92"/>
        <v>-41644.230000000003</v>
      </c>
      <c r="AO471" s="212">
        <f t="shared" si="90"/>
        <v>-0.78494295322316976</v>
      </c>
      <c r="AP471" s="79"/>
      <c r="AQ471" s="79">
        <v>11410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2250</v>
      </c>
      <c r="AG474" s="245"/>
      <c r="AH474" s="400">
        <f t="shared" si="91"/>
        <v>0</v>
      </c>
      <c r="AI474" s="97">
        <f t="shared" si="94"/>
        <v>0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2250</v>
      </c>
      <c r="AO474" s="212">
        <f t="shared" si="90"/>
        <v>0</v>
      </c>
      <c r="AP474" s="79"/>
      <c r="AQ474" s="79">
        <v>2250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-804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18867.120185454547</v>
      </c>
      <c r="AA477" s="244"/>
      <c r="AB477" s="237"/>
      <c r="AC477" s="87"/>
      <c r="AD477" s="246"/>
      <c r="AE477" s="237"/>
      <c r="AF477" s="87">
        <f>-SUMIFS(BV_Data_An_Cour!$O:$O,BV_Data_An_Cour!$V:$V,$V477)</f>
        <v>10040.799999999999</v>
      </c>
      <c r="AG477" s="245"/>
      <c r="AH477" s="400">
        <f t="shared" si="91"/>
        <v>-8826.3201854545478</v>
      </c>
      <c r="AI477" s="97">
        <f t="shared" si="94"/>
        <v>-0.46781491285877996</v>
      </c>
      <c r="AJ477" s="246"/>
      <c r="AK477" s="244"/>
      <c r="AL477" s="247">
        <f>+INDEX('Réel 2024'!$A$2:$AO$501,MATCH($A477,'Réel 2024'!$A$2:$A$501,0),MATCH(F$2,'Réel 2024'!$A$2:$AO$2,0))</f>
        <v>33761.279999999999</v>
      </c>
      <c r="AM477" s="248"/>
      <c r="AN477" s="400">
        <f t="shared" si="95"/>
        <v>-23720.48</v>
      </c>
      <c r="AO477" s="212">
        <f t="shared" si="90"/>
        <v>-0.70259421443736736</v>
      </c>
      <c r="AP477" s="79"/>
      <c r="AQ477" s="79">
        <v>10041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21196.875</v>
      </c>
      <c r="AA480" s="244"/>
      <c r="AB480" s="237"/>
      <c r="AC480" s="87"/>
      <c r="AD480" s="246"/>
      <c r="AE480" s="237"/>
      <c r="AF480" s="87">
        <f>+SUMIF($C:$C,$V480,L:L)</f>
        <v>15470</v>
      </c>
      <c r="AG480" s="245"/>
      <c r="AH480" s="400">
        <f t="shared" si="91"/>
        <v>-5726.875</v>
      </c>
      <c r="AI480" s="97">
        <f t="shared" si="94"/>
        <v>-0.27017543859649124</v>
      </c>
      <c r="AJ480" s="246"/>
      <c r="AK480" s="244"/>
      <c r="AL480" s="247">
        <f>+INDEX('Réel 2024'!$A$2:$AO$501,MATCH($A480,'Réel 2024'!$A$2:$A$501,0),MATCH(F$2,'Réel 2024'!$A$2:$AO$2,0))</f>
        <v>24990</v>
      </c>
      <c r="AM480" s="248"/>
      <c r="AN480" s="400">
        <f t="shared" si="95"/>
        <v>-9520</v>
      </c>
      <c r="AO480" s="212">
        <f t="shared" si="90"/>
        <v>-0.38095238095238093</v>
      </c>
      <c r="AP480" s="79"/>
      <c r="AQ480" s="79">
        <v>15470</v>
      </c>
      <c r="AR480" s="79"/>
      <c r="AS480" s="79">
        <f>SUM(AR470:AR480)</f>
        <v>0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0.25771277634549478</v>
      </c>
      <c r="Y481" s="103"/>
      <c r="Z481" s="90">
        <f>SUM(Z469:Z480)</f>
        <v>112297.43586545455</v>
      </c>
      <c r="AA481" s="89"/>
      <c r="AB481" s="103"/>
      <c r="AC481" s="90"/>
      <c r="AD481" s="89">
        <f>AF481/+AF407</f>
        <v>0.16577600338957416</v>
      </c>
      <c r="AE481" s="103"/>
      <c r="AF481" s="90">
        <f>SUM(AF469:AF480)</f>
        <v>71279.92</v>
      </c>
      <c r="AG481" s="99"/>
      <c r="AH481" s="93">
        <f t="shared" si="91"/>
        <v>-41017.515865454552</v>
      </c>
      <c r="AI481" s="89">
        <f>AH481/Z481</f>
        <v>-0.36525781331818058</v>
      </c>
      <c r="AJ481" s="109"/>
      <c r="AK481" s="110"/>
      <c r="AL481" s="90">
        <f>SUM(AL469:AL480)</f>
        <v>190474.98</v>
      </c>
      <c r="AM481" s="111"/>
      <c r="AN481" s="93">
        <f t="shared" si="95"/>
        <v>-119195.06000000001</v>
      </c>
      <c r="AO481" s="551">
        <f t="shared" si="90"/>
        <v>-0.62577804181945584</v>
      </c>
      <c r="AP481" s="79"/>
      <c r="AQ481" s="79" t="s">
        <v>2358</v>
      </c>
      <c r="AR481" s="1182"/>
      <c r="AS481" s="101">
        <f>AF481-AR481</f>
        <v>71279.92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3.2735938838161012E-2</v>
      </c>
      <c r="Z483" s="428">
        <f>Z407-Z468+Z481</f>
        <v>126571.41483140428</v>
      </c>
      <c r="AA483" s="426"/>
      <c r="AB483" s="427"/>
      <c r="AC483" s="428"/>
      <c r="AD483" s="426" t="s">
        <v>247</v>
      </c>
      <c r="AE483" s="427">
        <f>AF483/AF406</f>
        <v>1.9878572421158168E-2</v>
      </c>
      <c r="AF483" s="215">
        <f>AF407-AF468+AF481</f>
        <v>70563.840000000098</v>
      </c>
      <c r="AG483" s="429"/>
      <c r="AH483" s="215">
        <f>AF483-Z483</f>
        <v>-56007.574831404185</v>
      </c>
      <c r="AI483" s="745">
        <f>AH483/Z483</f>
        <v>-0.44249781758391044</v>
      </c>
      <c r="AJ483" s="430" t="s">
        <v>247</v>
      </c>
      <c r="AK483" s="427">
        <f>IF($AL$406=0,0,AL483/$AL$406)</f>
        <v>3.9806846875306272E-2</v>
      </c>
      <c r="AL483" s="215">
        <f>AL407-AL468+AL481</f>
        <v>195487.83999999953</v>
      </c>
      <c r="AM483" s="216"/>
      <c r="AN483" s="215">
        <f t="shared" si="95"/>
        <v>-124923.99999999943</v>
      </c>
      <c r="AO483" s="431">
        <f t="shared" si="90"/>
        <v>-0.63903719024160133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4.0078634974354328E-2</v>
      </c>
      <c r="Z488" s="1123">
        <f>Z489+Z415</f>
        <v>154961.48005084685</v>
      </c>
      <c r="AA488" s="1120"/>
      <c r="AB488" s="1121"/>
      <c r="AC488" s="1122"/>
      <c r="AD488" s="1120" t="s">
        <v>247</v>
      </c>
      <c r="AE488" s="1121">
        <f>AF488/AF406</f>
        <v>2.7230945205330672E-2</v>
      </c>
      <c r="AF488" s="1123">
        <f>AF489+AF415</f>
        <v>96662.880000000092</v>
      </c>
      <c r="AG488" s="1124"/>
      <c r="AH488" s="1123">
        <f t="shared" ref="AH488" si="97">AF488-Z488</f>
        <v>-58298.600050846755</v>
      </c>
      <c r="AI488" s="1185">
        <f>AH488/Z488</f>
        <v>-0.37621349532617709</v>
      </c>
      <c r="AJ488" s="1120" t="s">
        <v>247</v>
      </c>
      <c r="AK488" s="1121">
        <f>IF($AL$406=0,0,AL488/$AL$406)</f>
        <v>4.7633105240777331E-2</v>
      </c>
      <c r="AL488" s="1123">
        <f>AL489+AL415</f>
        <v>233921.88999999952</v>
      </c>
      <c r="AM488" s="1125"/>
      <c r="AN488" s="1123">
        <f t="shared" ref="AN488" si="98">AF488-AL488</f>
        <v>-137259.00999999943</v>
      </c>
      <c r="AO488" s="1126">
        <f t="shared" ref="AO488" si="99">IF(AL488=0,0,AN488/AL488)</f>
        <v>-0.58677283258954394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3.2735938838161012E-2</v>
      </c>
      <c r="Z489" s="436">
        <f>Z483</f>
        <v>126571.41483140428</v>
      </c>
      <c r="AA489" s="434"/>
      <c r="AB489" s="435"/>
      <c r="AC489" s="436"/>
      <c r="AD489" s="434" t="s">
        <v>247</v>
      </c>
      <c r="AE489" s="435">
        <f>AF489/AF406</f>
        <v>1.9878572421158168E-2</v>
      </c>
      <c r="AF489" s="436">
        <f>AF483</f>
        <v>70563.840000000098</v>
      </c>
      <c r="AG489" s="437"/>
      <c r="AH489" s="215">
        <f>AF489-Z489</f>
        <v>-56007.574831404185</v>
      </c>
      <c r="AI489" s="745">
        <f>AH489/Z489</f>
        <v>-0.44249781758391044</v>
      </c>
      <c r="AJ489" s="434" t="s">
        <v>247</v>
      </c>
      <c r="AK489" s="435">
        <f>IF($AL$406=0,0,AL489/$AL$406)</f>
        <v>3.9806846875306272E-2</v>
      </c>
      <c r="AL489" s="438">
        <f>AL483</f>
        <v>195487.83999999953</v>
      </c>
      <c r="AM489" s="439"/>
      <c r="AN489" s="440">
        <f>AF489-AL489</f>
        <v>-124923.99999999943</v>
      </c>
      <c r="AO489" s="441">
        <f>IF(AL489=0,0,AN489/AL489)</f>
        <v>-0.63903719024160133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18360.41</v>
      </c>
      <c r="AG491" s="398"/>
      <c r="AH491" s="400">
        <f t="shared" ref="AH491:AH498" si="100">AF491-Z491</f>
        <v>-939.59000000000015</v>
      </c>
      <c r="AI491" s="97">
        <f t="shared" ref="AI491:AI497" si="101">IF(Z491=0,0,AH491/Z491)</f>
        <v>-4.8683419689119177E-2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-2609.59</v>
      </c>
      <c r="AO491" s="212">
        <f t="shared" ref="AO491:AO498" si="103">IF(AL491=0,0,AN491/AL491)</f>
        <v>-0.12444396757272294</v>
      </c>
      <c r="AP491" s="79"/>
      <c r="AQ491" s="752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1271">
        <f>+INDEX('Budget original'!$A$2:$AO$501,MATCH($A496,'Budget original'!$A$2:$A$501,0),MATCH(F$2,'Budget original'!$A$2:$AO$2,0))</f>
        <v>-2547.5409836065573</v>
      </c>
      <c r="AA496" s="400"/>
      <c r="AB496" s="400"/>
      <c r="AC496" s="400"/>
      <c r="AD496" s="399"/>
      <c r="AE496" s="400"/>
      <c r="AF496" s="87">
        <f>SUMIFS(BV_Data_An_Cour!$O:$O,BV_Data_An_Cour!$V:$V,$V496)</f>
        <v>-2547.54</v>
      </c>
      <c r="AG496" s="399"/>
      <c r="AH496" s="400">
        <f t="shared" si="100"/>
        <v>9.8360655738360947E-4</v>
      </c>
      <c r="AI496" s="401">
        <f t="shared" si="101"/>
        <v>-3.8610038610296127E-7</v>
      </c>
      <c r="AJ496" s="405"/>
      <c r="AK496" s="398"/>
      <c r="AL496" s="87">
        <f>+INDEX('Réel 2024'!$A$2:$AO$501,MATCH($A496,'Réel 2024'!$A$2:$A$501,0),MATCH(F$2,'Réel 2024'!$A$2:$AO$2,0))</f>
        <v>-3007.92</v>
      </c>
      <c r="AM496" s="445"/>
      <c r="AN496" s="400">
        <f t="shared" si="102"/>
        <v>460.38000000000011</v>
      </c>
      <c r="AO496" s="212">
        <f t="shared" si="103"/>
        <v>-0.15305593233862605</v>
      </c>
      <c r="AP496" s="79"/>
      <c r="AQ496" s="1139">
        <f>Z496</f>
        <v>-2547.5409836065573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2.8403147943155651E-2</v>
      </c>
      <c r="Z498" s="428">
        <f>Z489-Z491-Z492-Z493-Z497-Z496-Z494-Z495</f>
        <v>109818.95581501084</v>
      </c>
      <c r="AA498" s="426"/>
      <c r="AB498" s="427"/>
      <c r="AC498" s="428"/>
      <c r="AD498" s="426" t="s">
        <v>247</v>
      </c>
      <c r="AE498" s="427">
        <f>AF498/AF406</f>
        <v>1.5423921406114783E-2</v>
      </c>
      <c r="AF498" s="215">
        <f>AF489-AF491-AF492-AF493-AF497-AF496-AF494-AF495</f>
        <v>54750.970000000096</v>
      </c>
      <c r="AG498" s="429"/>
      <c r="AH498" s="215">
        <f t="shared" si="100"/>
        <v>-55067.985815010739</v>
      </c>
      <c r="AI498" s="745">
        <f>AH498/Z498</f>
        <v>-0.50144335653466177</v>
      </c>
      <c r="AJ498" s="430" t="s">
        <v>247</v>
      </c>
      <c r="AK498" s="427">
        <f>IF($AL$406=0,0,AL498/$AL$406)</f>
        <v>3.6149259947536226E-2</v>
      </c>
      <c r="AL498" s="215">
        <f>AL489-AL491-AL492-AL493-AL497-AL496-AL494-AL495</f>
        <v>177525.75999999954</v>
      </c>
      <c r="AM498" s="216"/>
      <c r="AN498" s="215">
        <f t="shared" si="102"/>
        <v>-122774.78999999946</v>
      </c>
      <c r="AO498" s="446">
        <f t="shared" si="103"/>
        <v>-0.69158858973480675</v>
      </c>
      <c r="AP498" s="101">
        <f>SUM(AF490:AF497)+AF415</f>
        <v>41911.910000000003</v>
      </c>
      <c r="AQ498" s="79" t="s">
        <v>2358</v>
      </c>
      <c r="AR498" s="1182"/>
      <c r="AS498" s="101">
        <f>AP498-AR498</f>
        <v>41911.910000000003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14235.25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40515.720000000096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0.25999995981806306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54750.970000000096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54750.970000000096</v>
      </c>
      <c r="AG513" s="101">
        <f>AF513-AF505</f>
        <v>54750.970000000096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B1" zoomScale="70" zoomScaleNormal="70" workbookViewId="0">
      <selection activeCell="M34" sqref="M3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Novembre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300" t="s">
        <v>77</v>
      </c>
      <c r="E3" s="1301"/>
      <c r="F3" s="1302"/>
      <c r="G3" s="1303"/>
      <c r="H3" s="1301"/>
      <c r="I3" s="1302"/>
      <c r="J3" s="1303" t="s">
        <v>78</v>
      </c>
      <c r="K3" s="1301"/>
      <c r="L3" s="1302"/>
      <c r="M3" s="1303" t="s">
        <v>2442</v>
      </c>
      <c r="N3" s="1302"/>
      <c r="O3" s="1300" t="s">
        <v>79</v>
      </c>
      <c r="P3" s="1301"/>
      <c r="Q3" s="1302"/>
      <c r="R3" s="1304" t="s">
        <v>2446</v>
      </c>
      <c r="S3" s="1305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23640229.161891062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21929943.880000003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22998973.619999968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80</v>
      </c>
      <c r="E6" s="179">
        <f t="shared" ref="E6:E12" si="2">IF(D6=0,0,F6/D6)</f>
        <v>4306.3953488372081</v>
      </c>
      <c r="F6" s="179" cm="1">
        <f t="array" ref="F6">+SUMPRODUCT(('Budget original'!$A$8:$A$501=$A6)*('Budget original'!$C$3:$AO$3=F$2),'Budget original'!$C$8:$AO$501)</f>
        <v>344511.62790697668</v>
      </c>
      <c r="G6" s="182"/>
      <c r="H6" s="179"/>
      <c r="I6" s="179"/>
      <c r="J6" s="182">
        <f>-SUMIFS(BV_Data_An_Cour!$P:$P,BV_Data_An_Cour!$U:$U,$B6,BV_Data_An_Cour!$V:$V,$C6,BV_Data_An_Cour!$W:$W,J$2)</f>
        <v>69</v>
      </c>
      <c r="K6" s="179">
        <f>IF(J6=0,0,L6/J6)</f>
        <v>5018.3786956521608</v>
      </c>
      <c r="L6" s="473">
        <f>-SUMIFS(BV_Data_An_Cour!$P:$P,BV_Data_An_Cour!$U:$U,$B6,BV_Data_An_Cour!$V:$V,$C6,BV_Data_An_Cour!$W:$W,L$2)</f>
        <v>346268.12999999907</v>
      </c>
      <c r="M6" s="182">
        <f t="shared" ref="M6:M12" si="3">J6-D6</f>
        <v>-11</v>
      </c>
      <c r="N6" s="180">
        <f t="shared" ref="N6:N12" si="4">L6-F6</f>
        <v>1756.5020930223982</v>
      </c>
      <c r="O6" s="182" cm="1">
        <f t="array" ref="O6">+SUMPRODUCT(('Réel 2024'!$A$8:$A$501=$A6)*('Réel 2024'!$C$3:$AO$3=O$2),'Réel 2024'!$C$8:$AO$501)</f>
        <v>75</v>
      </c>
      <c r="P6" s="179">
        <f t="shared" ref="P6:P12" si="5">IF(O6=0,0,Q6/O6)</f>
        <v>4922.2714666666679</v>
      </c>
      <c r="Q6" s="473" cm="1">
        <f t="array" ref="Q6">+SUMPRODUCT(('Réel 2024'!$A$8:$A$501=$A6)*('Réel 2024'!$C$3:$AO$3=Q$2),'Réel 2024'!$C$8:$AO$501)</f>
        <v>369170.3600000001</v>
      </c>
      <c r="R6" s="182">
        <f>J6-O6</f>
        <v>-6</v>
      </c>
      <c r="S6" s="345">
        <f>L6-Q6</f>
        <v>-22902.230000001029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141</v>
      </c>
      <c r="E7" s="179">
        <f t="shared" si="2"/>
        <v>4000.331125827814</v>
      </c>
      <c r="F7" s="179" cm="1">
        <f t="array" ref="F7">+SUMPRODUCT(('Budget original'!$A$8:$A$501=$A7)*('Budget original'!$C$3:$AO$3=F$2),'Budget original'!$C$8:$AO$501)</f>
        <v>564046.68874172179</v>
      </c>
      <c r="G7" s="182"/>
      <c r="H7" s="179"/>
      <c r="I7" s="179"/>
      <c r="J7" s="182">
        <f>-SUMIFS(BV_Data_An_Cour!$P:$P,BV_Data_An_Cour!$U:$U,$B7,BV_Data_An_Cour!$V:$V,$C7,BV_Data_An_Cour!$W:$W,J$2)</f>
        <v>126</v>
      </c>
      <c r="K7" s="179">
        <f t="shared" ref="K7:K12" si="6">IF(J7=0,0,L7/J7)</f>
        <v>3784.2956349206202</v>
      </c>
      <c r="L7" s="473">
        <f>-SUMIFS(BV_Data_An_Cour!$P:$P,BV_Data_An_Cour!$U:$U,$B7,BV_Data_An_Cour!$V:$V,$C7,BV_Data_An_Cour!$W:$W,L$2)</f>
        <v>476821.24999999814</v>
      </c>
      <c r="M7" s="182">
        <f t="shared" si="3"/>
        <v>-15</v>
      </c>
      <c r="N7" s="180">
        <f t="shared" si="4"/>
        <v>-87225.438741723658</v>
      </c>
      <c r="O7" s="182" cm="1">
        <f t="array" ref="O7">+SUMPRODUCT(('Réel 2024'!$A$8:$A$501=$A7)*('Réel 2024'!$C$3:$AO$3=O$2),'Réel 2024'!$C$8:$AO$501)</f>
        <v>131</v>
      </c>
      <c r="P7" s="179">
        <f t="shared" si="5"/>
        <v>4532.0123664122066</v>
      </c>
      <c r="Q7" s="473" cm="1">
        <f t="array" ref="Q7">+SUMPRODUCT(('Réel 2024'!$A$8:$A$501=$A7)*('Réel 2024'!$C$3:$AO$3=Q$2),'Réel 2024'!$C$8:$AO$501)</f>
        <v>593693.61999999906</v>
      </c>
      <c r="R7" s="182">
        <f t="shared" ref="R7:R12" si="7">J7-O7</f>
        <v>-5</v>
      </c>
      <c r="S7" s="345">
        <f t="shared" ref="S7:S12" si="8">L7-Q7</f>
        <v>-116872.37000000093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221</v>
      </c>
      <c r="E13" s="346">
        <f>IF(D13&lt;=0,0,F13/D13)</f>
        <v>4111.1236047452421</v>
      </c>
      <c r="F13" s="347">
        <f t="shared" ref="F13" si="9">+SUM(F6:F12)</f>
        <v>908558.31664869841</v>
      </c>
      <c r="G13" s="348"/>
      <c r="H13" s="346"/>
      <c r="I13" s="347"/>
      <c r="J13" s="348">
        <f>+SUM(J6:J12)</f>
        <v>195</v>
      </c>
      <c r="K13" s="346">
        <f>IF(J13&lt;=0,0,L13/J13)</f>
        <v>4220.9711794871655</v>
      </c>
      <c r="L13" s="347">
        <f>+SUM(L6:L12)</f>
        <v>823089.37999999721</v>
      </c>
      <c r="M13" s="348">
        <f>+SUM(M6:M12)</f>
        <v>-26</v>
      </c>
      <c r="N13" s="347">
        <f t="shared" ref="N13" si="10">+SUM(N6:N12)</f>
        <v>-85468.936648701259</v>
      </c>
      <c r="O13" s="348">
        <f>+SUM(O6:O12)</f>
        <v>206</v>
      </c>
      <c r="P13" s="346">
        <f>IF(O13&lt;=0,0,Q13/O13)</f>
        <v>4674.0969902912584</v>
      </c>
      <c r="Q13" s="347">
        <f t="shared" ref="Q13" si="11">+SUM(Q6:Q12)</f>
        <v>962863.97999999917</v>
      </c>
      <c r="R13" s="348">
        <f>+SUM(R6:R12)</f>
        <v>-11</v>
      </c>
      <c r="S13" s="349">
        <f>+SUM(S6:S12)</f>
        <v>-139774.60000000196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-0.11764705882352941</v>
      </c>
      <c r="N14" s="234">
        <f>IF(F13=0,0,N13/F13)</f>
        <v>-9.4070941933547383E-2</v>
      </c>
      <c r="O14" s="223"/>
      <c r="P14" s="179"/>
      <c r="Q14" s="265"/>
      <c r="R14" s="235">
        <f>R13/O13</f>
        <v>-5.3398058252427182E-2</v>
      </c>
      <c r="S14" s="262">
        <f>IF(Q13=0,0,(S13/Q13))</f>
        <v>-0.14516546771227445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33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24750</v>
      </c>
      <c r="G15" s="183"/>
      <c r="H15" s="352"/>
      <c r="I15" s="350"/>
      <c r="J15" s="466">
        <f>-SUMIFS(BV_Data_An_Cour!$P:$P,BV_Data_An_Cour!$U:$U,$B15,BV_Data_An_Cour!$V:$V,$C15,BV_Data_An_Cour!$W:$W,J$2)</f>
        <v>44</v>
      </c>
      <c r="K15" s="467">
        <f>IF(J15=0,0,L15/J15)</f>
        <v>2807.0756818181731</v>
      </c>
      <c r="L15" s="467">
        <f>-SUMIFS(BV_Data_An_Cour!$P:$P,BV_Data_An_Cour!$U:$U,$B15,BV_Data_An_Cour!$V:$V,$C15,BV_Data_An_Cour!$W:$W,L$2)</f>
        <v>123511.32999999961</v>
      </c>
      <c r="M15" s="351">
        <f>J15-D15</f>
        <v>11</v>
      </c>
      <c r="N15" s="350">
        <f>L15-F15</f>
        <v>98761.329999999609</v>
      </c>
      <c r="O15" s="466" cm="1">
        <f t="array" ref="O15">+SUMPRODUCT(('Réel 2024'!$A$8:$A$501=$A15)*('Réel 2024'!$C$3:$AO$3=O$2),'Réel 2024'!$C$8:$AO$501)</f>
        <v>34</v>
      </c>
      <c r="P15" s="467">
        <f>IF(O15=0,0,Q15/O15)</f>
        <v>1415.8485294117665</v>
      </c>
      <c r="Q15" s="467" cm="1">
        <f t="array" ref="Q15">+SUMPRODUCT(('Réel 2024'!$A$8:$A$501=$A15)*('Réel 2024'!$C$3:$AO$3=Q$2),'Réel 2024'!$C$8:$AO$501)</f>
        <v>48138.850000000064</v>
      </c>
      <c r="R15" s="351">
        <f>J15-O15</f>
        <v>10</v>
      </c>
      <c r="S15" s="372">
        <f>L15-Q15</f>
        <v>75372.479999999545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-4</v>
      </c>
      <c r="S17" s="345">
        <f>L17-Q17</f>
        <v>-10552.920000000015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28043.892793886895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27010.619999999995</v>
      </c>
      <c r="M19" s="182"/>
      <c r="N19" s="180">
        <f>L19-F19</f>
        <v>-1033.2727938868993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44239.579999999944</v>
      </c>
      <c r="R19" s="182">
        <f>O19-K19</f>
        <v>0</v>
      </c>
      <c r="S19" s="345">
        <f>L19-Q19</f>
        <v>-17228.959999999948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6350</v>
      </c>
      <c r="G21" s="223"/>
      <c r="H21" s="179"/>
      <c r="I21" s="179"/>
      <c r="J21" s="182"/>
      <c r="K21" s="179">
        <f>IF(J13=0,0,L21/(J13+J15))</f>
        <v>7.0791213389121346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-4658.09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-7.0791213389121346</v>
      </c>
      <c r="S21" s="345">
        <f>L21-Q21</f>
        <v>-77.470000000000027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292100</v>
      </c>
      <c r="G22" s="223"/>
      <c r="H22" s="179"/>
      <c r="I22" s="179"/>
      <c r="J22" s="182"/>
      <c r="K22" s="179">
        <f>IF(J13=0,0,L22/(J13+J15))</f>
        <v>1220.9001673640169</v>
      </c>
      <c r="L22" s="180">
        <f>-SUMIFS(BV_Data_An_Cour!$P:$P,BV_Data_An_Cour!$U:$U,$B22,BV_Data_An_Cour!$V:$V,$C22,BV_Data_An_Cour!$W:$W,L$2)</f>
        <v>291795.14</v>
      </c>
      <c r="M22" s="182"/>
      <c r="N22" s="180">
        <f>L22-F22</f>
        <v>-304.85999999998603</v>
      </c>
      <c r="O22" s="182"/>
      <c r="P22" s="179"/>
      <c r="Q22" s="180" cm="1">
        <f t="array" ref="Q22">+SUMPRODUCT(('Réel 2024'!$A$8:$A$501=$A22)*('Réel 2024'!$C$3:$AO$3=Q$2),'Réel 2024'!$C$8:$AO$501)</f>
        <v>280608.22999999969</v>
      </c>
      <c r="R22" s="182">
        <f>O22-K22</f>
        <v>-1220.9001673640169</v>
      </c>
      <c r="S22" s="345">
        <f>L22-Q22</f>
        <v>11186.910000000324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121920</v>
      </c>
      <c r="G23" s="223"/>
      <c r="H23" s="179"/>
      <c r="I23" s="179"/>
      <c r="J23" s="182"/>
      <c r="K23" s="179">
        <f>IF(J13=0,0,L23/(J13+J15))</f>
        <v>666.08079497907977</v>
      </c>
      <c r="L23" s="180">
        <f>-SUMIFS(BV_Data_An_Cour!$P:$P,BV_Data_An_Cour!$U:$U,$B23,BV_Data_An_Cour!$V:$V,$C23,BV_Data_An_Cour!$W:$W,L$2)</f>
        <v>159193.31000000006</v>
      </c>
      <c r="M23" s="351"/>
      <c r="N23" s="180">
        <f>L23-F23</f>
        <v>37273.310000000056</v>
      </c>
      <c r="O23" s="182"/>
      <c r="P23" s="179"/>
      <c r="Q23" s="180" cm="1">
        <f t="array" ref="Q23">+SUMPRODUCT(('Réel 2024'!$A$8:$A$501=$A23)*('Réel 2024'!$C$3:$AO$3=Q$2),'Réel 2024'!$C$8:$AO$501)</f>
        <v>113128.65999999999</v>
      </c>
      <c r="R23" s="182">
        <f>O23-K23</f>
        <v>-666.08079497907977</v>
      </c>
      <c r="S23" s="345">
        <f>L23-Q23</f>
        <v>46064.650000000067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254</v>
      </c>
      <c r="E24" s="346">
        <f>IF(D24&lt;=0,0,F24/D24)</f>
        <v>1655</v>
      </c>
      <c r="F24" s="347">
        <f>F21+F22+F23</f>
        <v>420370</v>
      </c>
      <c r="G24" s="348"/>
      <c r="H24" s="346"/>
      <c r="I24" s="347"/>
      <c r="J24" s="348">
        <f>+J15+J13</f>
        <v>239</v>
      </c>
      <c r="K24" s="346">
        <f>IF(J24&lt;=0,0,L24/J24)</f>
        <v>1894.0600836820086</v>
      </c>
      <c r="L24" s="347">
        <f>L21+L22+L23</f>
        <v>452680.36000000004</v>
      </c>
      <c r="M24" s="376">
        <f>J24-D24</f>
        <v>-15</v>
      </c>
      <c r="N24" s="347">
        <f>L24-F24</f>
        <v>32310.360000000044</v>
      </c>
      <c r="O24" s="348">
        <f>+O15+O13</f>
        <v>240</v>
      </c>
      <c r="P24" s="346">
        <f>IF(O24&lt;=0,0,Q24/O24)</f>
        <v>1647.9427916666652</v>
      </c>
      <c r="Q24" s="347">
        <f>Q21+Q22+Q23</f>
        <v>395506.26999999967</v>
      </c>
      <c r="R24" s="356"/>
      <c r="S24" s="349">
        <f>L24-Q24</f>
        <v>57174.090000000375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7.6861717058781656E-2</v>
      </c>
      <c r="O25" s="223"/>
      <c r="P25" s="178"/>
      <c r="Q25" s="225"/>
      <c r="R25" s="224"/>
      <c r="S25" s="262">
        <f>IF(Q24=0,0,(S24/Q24))</f>
        <v>0.14455925060303196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257</v>
      </c>
      <c r="E27" s="27">
        <f>IF(D27&lt;=0,0,F27/D27)</f>
        <v>5376.3510095042229</v>
      </c>
      <c r="F27" s="28">
        <f>F13+F17+F24+F19+F15</f>
        <v>1381722.2094425852</v>
      </c>
      <c r="G27" s="29"/>
      <c r="H27" s="30"/>
      <c r="I27" s="28"/>
      <c r="J27" s="29">
        <f>+J13+J15+J17</f>
        <v>240</v>
      </c>
      <c r="K27" s="30">
        <f>IF(J27&lt;=0,0,L27/J27)</f>
        <v>5954.8862499999868</v>
      </c>
      <c r="L27" s="28">
        <f>L13+L17+L24+L19+L15</f>
        <v>1429172.6999999969</v>
      </c>
      <c r="M27" s="29">
        <f>J27-D27</f>
        <v>-17</v>
      </c>
      <c r="N27" s="28">
        <f>L27-F27</f>
        <v>47450.490557411686</v>
      </c>
      <c r="O27" s="29">
        <f>+O13+O15+O17</f>
        <v>245</v>
      </c>
      <c r="P27" s="30">
        <f>IF(O27&lt;=0,0,Q27/O27)</f>
        <v>5976.2555510204029</v>
      </c>
      <c r="Q27" s="28">
        <f>Q13+Q17+Q24+Q19+Q15</f>
        <v>1464182.6099999987</v>
      </c>
      <c r="R27" s="29">
        <f>J27-O27</f>
        <v>-5</v>
      </c>
      <c r="S27" s="321">
        <f>L27-Q27</f>
        <v>-35009.910000001779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-6.6147859922178989E-2</v>
      </c>
      <c r="N28" s="34">
        <f>N27/F27</f>
        <v>3.4341555946006089E-2</v>
      </c>
      <c r="O28" s="31"/>
      <c r="P28" s="323"/>
      <c r="Q28" s="32"/>
      <c r="R28" s="33">
        <f>R27/O27</f>
        <v>-2.0408163265306121E-2</v>
      </c>
      <c r="S28" s="259">
        <f>IF(Q27=0,0,S27/Q27)</f>
        <v>-2.3910890459217932E-2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1067.5571192887546</v>
      </c>
      <c r="F31" s="179" cm="1">
        <f t="array" ref="F31">+SUMPRODUCT(('Budget original'!$A$8:$A$501=$A31)*('Budget original'!$C$3:$AO$3=F$2),'Budget original'!$C$8:$AO$501)</f>
        <v>271159.5082993437</v>
      </c>
      <c r="G31" s="293"/>
      <c r="H31" s="195"/>
      <c r="I31" s="179"/>
      <c r="J31" s="293">
        <f>L31/(L13+L15)</f>
        <v>0.26250106024112407</v>
      </c>
      <c r="K31" s="195">
        <f t="shared" ref="K31:K36" si="13">IF(L31=0,0,L31/J$24)</f>
        <v>1039.6807112970712</v>
      </c>
      <c r="L31" s="179">
        <f>SUMIFS(BV_Data_An_Cour!$P:$P,BV_Data_An_Cour!$U:$U,$B31,BV_Data_An_Cour!$V:$V,$C31,BV_Data_An_Cour!$W:$W,L$2)</f>
        <v>248483.69</v>
      </c>
      <c r="M31" s="223"/>
      <c r="N31" s="225">
        <f t="shared" ref="N31:N53" si="14">L31-F31</f>
        <v>-22675.818299343693</v>
      </c>
      <c r="O31" s="293"/>
      <c r="P31" s="195">
        <f t="shared" ref="P31:P40" si="15">Q31/O$24</f>
        <v>1269.4513333333334</v>
      </c>
      <c r="Q31" s="180" cm="1">
        <f t="array" ref="Q31">+SUMPRODUCT(('Réel 2024'!$A$8:$A$501=$A31)*('Réel 2024'!$C$3:$AO$3=Q$2),'Réel 2024'!$C$8:$AO$501)</f>
        <v>304668.32</v>
      </c>
      <c r="R31" s="223"/>
      <c r="S31" s="197">
        <f t="shared" ref="S31:S41" si="16">L31-Q31</f>
        <v>-56184.630000000005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115601.75</v>
      </c>
      <c r="G32" s="320"/>
      <c r="H32" s="188"/>
      <c r="I32" s="177"/>
      <c r="J32" s="320">
        <f>L32/L24</f>
        <v>0.30172652067343941</v>
      </c>
      <c r="K32" s="358">
        <f t="shared" si="13"/>
        <v>571.48815899581598</v>
      </c>
      <c r="L32" s="177">
        <f>SUMIFS(BV_Data_An_Cour!$P:$P,BV_Data_An_Cour!$U:$U,$B32,BV_Data_An_Cour!$V:$V,$C32,BV_Data_An_Cour!$W:$W,L$2)</f>
        <v>136585.67000000001</v>
      </c>
      <c r="M32" s="278"/>
      <c r="N32" s="279">
        <f t="shared" si="14"/>
        <v>20983.920000000013</v>
      </c>
      <c r="O32" s="320"/>
      <c r="P32" s="358">
        <f t="shared" si="15"/>
        <v>628.3579166666666</v>
      </c>
      <c r="Q32" s="177" cm="1">
        <f t="array" ref="Q32">+SUMPRODUCT(('Réel 2024'!$A$8:$A$501=$A32)*('Réel 2024'!$C$3:$AO$3=Q$2),'Réel 2024'!$C$8:$AO$501)</f>
        <v>150805.9</v>
      </c>
      <c r="R32" s="278"/>
      <c r="S32" s="200">
        <f t="shared" si="16"/>
        <v>-14220.229999999981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33020</v>
      </c>
      <c r="G33" s="269"/>
      <c r="H33" s="195"/>
      <c r="I33" s="179"/>
      <c r="J33" s="223"/>
      <c r="K33" s="195">
        <f t="shared" si="13"/>
        <v>120.76485355648535</v>
      </c>
      <c r="L33" s="179">
        <f>SUMIFS(BV_Data_An_Cour!$P:$P,BV_Data_An_Cour!$U:$U,$B33,BV_Data_An_Cour!$V:$V,$C33,BV_Data_An_Cour!$W:$W,L$2)</f>
        <v>28862.799999999999</v>
      </c>
      <c r="M33" s="223"/>
      <c r="N33" s="225">
        <f t="shared" si="14"/>
        <v>-4157.2000000000007</v>
      </c>
      <c r="O33" s="223"/>
      <c r="P33" s="195">
        <f t="shared" si="15"/>
        <v>122.13533333333334</v>
      </c>
      <c r="Q33" s="180" cm="1">
        <f t="array" ref="Q33">+SUMPRODUCT(('Réel 2024'!$A$8:$A$501=$A33)*('Réel 2024'!$C$3:$AO$3=Q$2),'Réel 2024'!$C$8:$AO$501)</f>
        <v>29312.48</v>
      </c>
      <c r="R33" s="223"/>
      <c r="S33" s="197">
        <f t="shared" si="16"/>
        <v>-449.68000000000029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9398</v>
      </c>
      <c r="G34" s="269"/>
      <c r="H34" s="195"/>
      <c r="I34" s="179"/>
      <c r="J34" s="223"/>
      <c r="K34" s="195">
        <f t="shared" si="13"/>
        <v>32.063096234309626</v>
      </c>
      <c r="L34" s="179">
        <f>SUMIFS(BV_Data_An_Cour!$P:$P,BV_Data_An_Cour!$U:$U,$B34,BV_Data_An_Cour!$V:$V,$C34,BV_Data_An_Cour!$W:$W,L$2)</f>
        <v>7663.08</v>
      </c>
      <c r="M34" s="223"/>
      <c r="N34" s="225">
        <f t="shared" si="14"/>
        <v>-1734.92</v>
      </c>
      <c r="O34" s="223"/>
      <c r="P34" s="195">
        <f t="shared" si="15"/>
        <v>39.109124999999999</v>
      </c>
      <c r="Q34" s="180" cm="1">
        <f t="array" ref="Q34">+SUMPRODUCT(('Réel 2024'!$A$8:$A$501=$A34)*('Réel 2024'!$C$3:$AO$3=Q$2),'Réel 2024'!$C$8:$AO$501)</f>
        <v>9386.19</v>
      </c>
      <c r="R34" s="223"/>
      <c r="S34" s="197">
        <f t="shared" si="16"/>
        <v>-1723.1100000000006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61.496062992125985</v>
      </c>
      <c r="F35" s="177" cm="1">
        <f t="array" ref="F35">+SUMPRODUCT(('Budget original'!$A$8:$A$501=$A35)*('Budget original'!$C$3:$AO$3=F$2),'Budget original'!$C$8:$AO$501)</f>
        <v>15620</v>
      </c>
      <c r="G35" s="277"/>
      <c r="H35" s="188"/>
      <c r="I35" s="177"/>
      <c r="J35" s="278"/>
      <c r="K35" s="358">
        <f t="shared" si="13"/>
        <v>88.50853556485356</v>
      </c>
      <c r="L35" s="177">
        <f>SUMIFS(BV_Data_An_Cour!$P:$P,BV_Data_An_Cour!$U:$U,$B35,BV_Data_An_Cour!$V:$V,$C35,BV_Data_An_Cour!$W:$W,L$2)</f>
        <v>21153.54</v>
      </c>
      <c r="M35" s="278"/>
      <c r="N35" s="279">
        <f t="shared" si="14"/>
        <v>5533.5400000000009</v>
      </c>
      <c r="O35" s="278"/>
      <c r="P35" s="358">
        <f t="shared" si="15"/>
        <v>63.598416666666665</v>
      </c>
      <c r="Q35" s="180" cm="1">
        <f t="array" ref="Q35">+SUMPRODUCT(('Réel 2024'!$A$8:$A$501=$A35)*('Réel 2024'!$C$3:$AO$3=Q$2),'Réel 2024'!$C$8:$AO$501)</f>
        <v>15263.619999999999</v>
      </c>
      <c r="R35" s="278"/>
      <c r="S35" s="200">
        <f t="shared" si="16"/>
        <v>5889.9200000000019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130548.5294117647</v>
      </c>
      <c r="G36" s="269"/>
      <c r="H36" s="195"/>
      <c r="I36" s="179"/>
      <c r="J36" s="223"/>
      <c r="K36" s="195">
        <f t="shared" si="13"/>
        <v>594.67276150627617</v>
      </c>
      <c r="L36" s="546">
        <f>SUMIFS(BV_Data_An_Cour!$P:$P,BV_Data_An_Cour!$U:$U,$B36,BV_Data_An_Cour!$V:$V,$C36,BV_Data_An_Cour!$W:$W,L$2)</f>
        <v>142126.79</v>
      </c>
      <c r="M36" s="178"/>
      <c r="N36" s="225">
        <f t="shared" si="14"/>
        <v>11578.260588235309</v>
      </c>
      <c r="O36" s="223"/>
      <c r="P36" s="195">
        <f t="shared" si="15"/>
        <v>614.03854166666622</v>
      </c>
      <c r="Q36" s="374" cm="1">
        <f t="array" ref="Q36">+SUMPRODUCT(('Réel 2024'!$A$8:$A$501=$A36)*('Réel 2024'!$C$3:$AO$3=Q$2),'Réel 2024'!$C$8:$AO$501)</f>
        <v>147369.24999999988</v>
      </c>
      <c r="R36" s="223"/>
      <c r="S36" s="197">
        <f t="shared" si="16"/>
        <v>-5242.4599999998754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1177.9663146370883</v>
      </c>
      <c r="F37" s="179" cm="1">
        <f t="array" ref="F37">+SUMPRODUCT(('Budget original'!$A$8:$A$501=$A37)*('Budget original'!$C$3:$AO$3=F$2),'Budget original'!$C$8:$AO$501)</f>
        <v>299203.4439178204</v>
      </c>
      <c r="G37" s="269"/>
      <c r="H37" s="195"/>
      <c r="I37" s="179"/>
      <c r="J37" s="223"/>
      <c r="K37" s="195">
        <f>IF(L37=0,0,L37/J$24)</f>
        <v>1071.8598744769874</v>
      </c>
      <c r="L37" s="547">
        <f>SUMIFS(BV_Data_An_Cour!$P:$P,BV_Data_An_Cour!$U:$U,$B37,BV_Data_An_Cour!$V:$V,$C37,BV_Data_An_Cour!$W:$W,L$2)</f>
        <v>256174.51</v>
      </c>
      <c r="M37" s="178"/>
      <c r="N37" s="225">
        <f t="shared" si="14"/>
        <v>-43028.933917820395</v>
      </c>
      <c r="O37" s="223"/>
      <c r="P37" s="195">
        <f t="shared" si="15"/>
        <v>1414.1143333333334</v>
      </c>
      <c r="Q37" s="180" cm="1">
        <f t="array" ref="Q37">+SUMPRODUCT(('Réel 2024'!$A$8:$A$501=$A37)*('Réel 2024'!$C$3:$AO$3=Q$2),'Réel 2024'!$C$8:$AO$501)</f>
        <v>339387.44</v>
      </c>
      <c r="R37" s="223"/>
      <c r="S37" s="197">
        <f>L37-Q37</f>
        <v>-83212.929999999993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0.6329428778464381</v>
      </c>
      <c r="F41" s="41">
        <f>SUM(F31:F40)</f>
        <v>874551.2316289288</v>
      </c>
      <c r="G41" s="42"/>
      <c r="H41" s="40"/>
      <c r="I41" s="41"/>
      <c r="J41" s="42" t="s">
        <v>108</v>
      </c>
      <c r="K41" s="40">
        <f>L41/L$27</f>
        <v>0.58848736755187236</v>
      </c>
      <c r="L41" s="41">
        <f>SUM(L31:L40)</f>
        <v>841050.08</v>
      </c>
      <c r="M41" s="505"/>
      <c r="N41" s="41">
        <f t="shared" si="14"/>
        <v>-33501.151628928841</v>
      </c>
      <c r="O41" s="42" t="s">
        <v>108</v>
      </c>
      <c r="P41" s="40">
        <f>Q41/Q$27</f>
        <v>0.68037497044169959</v>
      </c>
      <c r="Q41" s="504">
        <f>SUM(Q31:Q40)</f>
        <v>996193.19999999972</v>
      </c>
      <c r="R41" s="44"/>
      <c r="S41" s="285">
        <f t="shared" si="16"/>
        <v>-155143.11999999976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137541.51551724138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139942.81</v>
      </c>
      <c r="M42" s="223"/>
      <c r="N42" s="225">
        <f t="shared" si="14"/>
        <v>2401.294482758618</v>
      </c>
      <c r="O42" s="223"/>
      <c r="P42" s="178"/>
      <c r="Q42" s="180" cm="1">
        <f t="array" ref="Q42">+SUMPRODUCT(('Réel 2024'!$A$8:$A$501=$A42)*('Réel 2024'!$C$3:$AO$3=Q$2),'Réel 2024'!$C$8:$AO$501)</f>
        <v>135259.81999999998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105464.29540229886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102619</v>
      </c>
      <c r="M43" s="223"/>
      <c r="N43" s="225">
        <f t="shared" si="14"/>
        <v>-2845.2954022988561</v>
      </c>
      <c r="O43" s="223"/>
      <c r="P43" s="178"/>
      <c r="Q43" s="180" cm="1">
        <f t="array" ref="Q43">+SUMPRODUCT(('Réel 2024'!$A$8:$A$501=$A43)*('Réel 2024'!$C$3:$AO$3=Q$2),'Réel 2024'!$C$8:$AO$501)</f>
        <v>98555.98000000001</v>
      </c>
      <c r="R43" s="223"/>
      <c r="S43" s="197">
        <f t="shared" ref="S43:S53" si="17">L43-Q43</f>
        <v>4063.0199999999895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3762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3762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3762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77495.772202889784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88577.83</v>
      </c>
      <c r="M49" s="223"/>
      <c r="N49" s="225">
        <f t="shared" si="14"/>
        <v>11082.057797110218</v>
      </c>
      <c r="O49" s="223"/>
      <c r="P49" s="178"/>
      <c r="Q49" s="177" cm="1">
        <f t="array" ref="Q49">+SUMPRODUCT(('Réel 2024'!$A$8:$A$501=$A49)*('Réel 2024'!$C$3:$AO$3=Q$2),'Réel 2024'!$C$8:$AO$501)</f>
        <v>85468.579999999987</v>
      </c>
      <c r="R49" s="223"/>
      <c r="S49" s="197">
        <f t="shared" si="17"/>
        <v>3109.2500000000146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95236.039138859764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100036.26</v>
      </c>
      <c r="M50" s="273"/>
      <c r="N50" s="274">
        <f t="shared" si="14"/>
        <v>4800.2208611402311</v>
      </c>
      <c r="O50" s="273"/>
      <c r="P50" s="271"/>
      <c r="Q50" s="180" cm="1">
        <f t="array" ref="Q50">+SUMPRODUCT(('Réel 2024'!$A$8:$A$501=$A50)*('Réel 2024'!$C$3:$AO$3=Q$2),'Réel 2024'!$C$8:$AO$501)</f>
        <v>94543.88</v>
      </c>
      <c r="R50" s="273"/>
      <c r="S50" s="199">
        <f t="shared" si="17"/>
        <v>5492.3799999999901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49237.779235507551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49755.38</v>
      </c>
      <c r="M51" s="223"/>
      <c r="N51" s="225">
        <f t="shared" si="14"/>
        <v>517.60076449244661</v>
      </c>
      <c r="O51" s="223"/>
      <c r="P51" s="178"/>
      <c r="Q51" s="180" cm="1">
        <f t="array" ref="Q51">+SUMPRODUCT(('Réel 2024'!$A$8:$A$501=$A51)*('Réel 2024'!$C$3:$AO$3=Q$2),'Réel 2024'!$C$8:$AO$501)</f>
        <v>47300.77</v>
      </c>
      <c r="R51" s="223"/>
      <c r="S51" s="197">
        <f t="shared" si="17"/>
        <v>2454.6100000000006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10550.952693323046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14683.07</v>
      </c>
      <c r="M52" s="223"/>
      <c r="N52" s="225">
        <f t="shared" si="14"/>
        <v>4132.1173066769534</v>
      </c>
      <c r="O52" s="223"/>
      <c r="P52" s="178"/>
      <c r="Q52" s="180" cm="1">
        <f t="array" ref="Q52">+SUMPRODUCT(('Réel 2024'!$A$8:$A$501=$A52)*('Réel 2024'!$C$3:$AO$3=Q$2),'Réel 2024'!$C$8:$AO$501)</f>
        <v>8154.66</v>
      </c>
      <c r="R52" s="223"/>
      <c r="S52" s="197">
        <f t="shared" si="17"/>
        <v>6528.41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0.34687750614030805</v>
      </c>
      <c r="F54" s="41">
        <f>+SUM(F42:F53)</f>
        <v>479288.35419012036</v>
      </c>
      <c r="G54" s="42"/>
      <c r="H54" s="40"/>
      <c r="I54" s="41"/>
      <c r="J54" s="42" t="s">
        <v>108</v>
      </c>
      <c r="K54" s="40">
        <f>L54/L$27</f>
        <v>0.34941637914018447</v>
      </c>
      <c r="L54" s="41">
        <f>+SUM(L42:L53)</f>
        <v>499376.35000000003</v>
      </c>
      <c r="M54" s="44"/>
      <c r="N54" s="41">
        <f>+SUM(N42:N53)</f>
        <v>20087.995809879612</v>
      </c>
      <c r="O54" s="42" t="s">
        <v>108</v>
      </c>
      <c r="P54" s="40">
        <f>Q54/Q$27</f>
        <v>0.32307834198358659</v>
      </c>
      <c r="Q54" s="41">
        <f>+SUM(Q42:Q53)</f>
        <v>473045.69</v>
      </c>
      <c r="R54" s="44"/>
      <c r="S54" s="285">
        <f>+SUM(S42:S53)</f>
        <v>21647.669999999995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72830.266666666663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90566.83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78229.27</v>
      </c>
      <c r="R57" s="278"/>
      <c r="S57" s="200">
        <f t="shared" si="19"/>
        <v>12337.559999999998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53661.30000000001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53039.8</v>
      </c>
      <c r="M58" s="223"/>
      <c r="N58" s="225">
        <f t="shared" si="18"/>
        <v>-621.50000000000728</v>
      </c>
      <c r="O58" s="223"/>
      <c r="P58" s="178"/>
      <c r="Q58" s="180" cm="1">
        <f t="array" ref="Q58">+SUMPRODUCT(('Réel 2024'!$A$8:$A$501=$A58)*('Réel 2024'!$C$3:$AO$3=Q$2),'Réel 2024'!$C$8:$AO$501)</f>
        <v>50337.67</v>
      </c>
      <c r="R58" s="223"/>
      <c r="S58" s="197">
        <f t="shared" si="19"/>
        <v>2702.1300000000047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9075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7717</v>
      </c>
      <c r="M59" s="223"/>
      <c r="N59" s="225">
        <f t="shared" si="18"/>
        <v>-1358</v>
      </c>
      <c r="O59" s="223"/>
      <c r="P59" s="178"/>
      <c r="Q59" s="180" cm="1">
        <f t="array" ref="Q59">+SUMPRODUCT(('Réel 2024'!$A$8:$A$501=$A59)*('Réel 2024'!$C$3:$AO$3=Q$2),'Réel 2024'!$C$8:$AO$501)</f>
        <v>13934.57</v>
      </c>
      <c r="R59" s="223"/>
      <c r="S59" s="197">
        <f t="shared" si="19"/>
        <v>-6217.57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36461.699999999997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35324.639999999999</v>
      </c>
      <c r="M60" s="278"/>
      <c r="N60" s="279">
        <f t="shared" si="18"/>
        <v>-1137.0599999999977</v>
      </c>
      <c r="O60" s="278"/>
      <c r="P60" s="276"/>
      <c r="Q60" s="177" cm="1">
        <f t="array" ref="Q60">+SUMPRODUCT(('Réel 2024'!$A$8:$A$501=$A60)*('Réel 2024'!$C$3:$AO$3=Q$2),'Réel 2024'!$C$8:$AO$501)</f>
        <v>36654.479999999996</v>
      </c>
      <c r="R60" s="278"/>
      <c r="S60" s="200">
        <f t="shared" si="19"/>
        <v>-1329.8399999999965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440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825.94</v>
      </c>
      <c r="M61" s="223"/>
      <c r="N61" s="225">
        <f t="shared" si="18"/>
        <v>385.94000000000005</v>
      </c>
      <c r="O61" s="223"/>
      <c r="P61" s="178"/>
      <c r="Q61" s="180" cm="1">
        <f t="array" ref="Q61">+SUMPRODUCT(('Réel 2024'!$A$8:$A$501=$A61)*('Réel 2024'!$C$3:$AO$3=Q$2),'Réel 2024'!$C$8:$AO$501)</f>
        <v>441.99000000000007</v>
      </c>
      <c r="R61" s="223"/>
      <c r="S61" s="197">
        <f t="shared" si="19"/>
        <v>383.95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330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29.910000000000025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7796.25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6095.42</v>
      </c>
      <c r="M63" s="223"/>
      <c r="N63" s="225">
        <f t="shared" si="18"/>
        <v>-1700.83</v>
      </c>
      <c r="O63" s="223"/>
      <c r="P63" s="178"/>
      <c r="Q63" s="473" cm="1">
        <f t="array" ref="Q63">+SUMPRODUCT(('Réel 2024'!$A$8:$A$501=$A63)*('Réel 2024'!$C$3:$AO$3=Q$2),'Réel 2024'!$C$8:$AO$501)</f>
        <v>6775.91</v>
      </c>
      <c r="R63" s="223"/>
      <c r="S63" s="197">
        <f t="shared" si="19"/>
        <v>-680.48999999999978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2314.4000000000005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2941.92</v>
      </c>
      <c r="M64" s="223"/>
      <c r="N64" s="225">
        <f t="shared" si="18"/>
        <v>627.51999999999953</v>
      </c>
      <c r="O64" s="223"/>
      <c r="P64" s="178"/>
      <c r="Q64" s="180" cm="1">
        <f t="array" ref="Q64">+SUMPRODUCT(('Réel 2024'!$A$8:$A$501=$A64)*('Réel 2024'!$C$3:$AO$3=Q$2),'Réel 2024'!$C$8:$AO$501)</f>
        <v>2700.64</v>
      </c>
      <c r="R64" s="223"/>
      <c r="S64" s="197">
        <f t="shared" si="19"/>
        <v>241.2800000000002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2227.5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1511.08</v>
      </c>
      <c r="M65" s="223"/>
      <c r="N65" s="225">
        <f t="shared" si="18"/>
        <v>-716.42000000000007</v>
      </c>
      <c r="O65" s="223"/>
      <c r="P65" s="178"/>
      <c r="Q65" s="180" cm="1">
        <f t="array" ref="Q65">+SUMPRODUCT(('Réel 2024'!$A$8:$A$501=$A65)*('Réel 2024'!$C$3:$AO$3=Q$2),'Réel 2024'!$C$8:$AO$501)</f>
        <v>1780.7900000000004</v>
      </c>
      <c r="R65" s="223"/>
      <c r="S65" s="197">
        <f t="shared" si="19"/>
        <v>-269.71000000000049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8617.9499999999989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9431.02</v>
      </c>
      <c r="M66" s="223"/>
      <c r="N66" s="225">
        <f t="shared" si="18"/>
        <v>813.07000000000153</v>
      </c>
      <c r="O66" s="223"/>
      <c r="P66" s="178"/>
      <c r="Q66" s="180" cm="1">
        <f t="array" ref="Q66">+SUMPRODUCT(('Réel 2024'!$A$8:$A$501=$A66)*('Réel 2024'!$C$3:$AO$3=Q$2),'Réel 2024'!$C$8:$AO$501)</f>
        <v>8000.4699999999984</v>
      </c>
      <c r="R66" s="223"/>
      <c r="S66" s="197">
        <f t="shared" si="19"/>
        <v>1430.550000000002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6140.0186099999983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2939.01</v>
      </c>
      <c r="M67" s="223"/>
      <c r="N67" s="225">
        <f t="shared" si="18"/>
        <v>-3201.008609999998</v>
      </c>
      <c r="O67" s="223"/>
      <c r="P67" s="178"/>
      <c r="Q67" s="180" cm="1">
        <f t="array" ref="Q67">+SUMPRODUCT(('Réel 2024'!$A$8:$A$501=$A67)*('Réel 2024'!$C$3:$AO$3=Q$2),'Réel 2024'!$C$8:$AO$501)</f>
        <v>3326.38</v>
      </c>
      <c r="R67" s="223"/>
      <c r="S67" s="197">
        <f>L67-Q67</f>
        <v>-387.36999999999989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33194.291526790505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32625.279999999999</v>
      </c>
      <c r="M68" s="223"/>
      <c r="N68" s="225">
        <f t="shared" si="18"/>
        <v>-569.01152679050574</v>
      </c>
      <c r="O68" s="223"/>
      <c r="P68" s="178"/>
      <c r="Q68" s="180" cm="1">
        <f t="array" ref="Q68">+SUMPRODUCT(('Réel 2024'!$A$8:$A$501=$A68)*('Réel 2024'!$C$3:$AO$3=Q$2),'Réel 2024'!$C$8:$AO$501)</f>
        <v>33326.58</v>
      </c>
      <c r="R68" s="223"/>
      <c r="S68" s="197">
        <f>L68-Q68</f>
        <v>-701.30000000000291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0.16869431149803249</v>
      </c>
      <c r="F72" s="41">
        <f>+SUM(F55:F71)</f>
        <v>233088.67680345717</v>
      </c>
      <c r="G72" s="42"/>
      <c r="H72" s="40"/>
      <c r="I72" s="41"/>
      <c r="J72" s="42" t="s">
        <v>108</v>
      </c>
      <c r="K72" s="40">
        <f>L72/L$27</f>
        <v>0.17029282045479918</v>
      </c>
      <c r="L72" s="41">
        <f>+SUM(L55:L71)</f>
        <v>243377.85000000003</v>
      </c>
      <c r="M72" s="44"/>
      <c r="N72" s="41">
        <f>+SUM(N55:N71)</f>
        <v>-7447.3901367905073</v>
      </c>
      <c r="O72" s="42" t="s">
        <v>108</v>
      </c>
      <c r="P72" s="40">
        <f>Q72/Q$27</f>
        <v>0.16122538840971498</v>
      </c>
      <c r="Q72" s="41">
        <f>+SUM(Q55:Q71)</f>
        <v>236063.41000000003</v>
      </c>
      <c r="R72" s="44"/>
      <c r="S72" s="285">
        <f>+SUM(S55:S71)</f>
        <v>7314.4400000000051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1.1485146954847787</v>
      </c>
      <c r="F74" s="41">
        <f>F41+F54+F72</f>
        <v>1586928.2626225064</v>
      </c>
      <c r="G74" s="42"/>
      <c r="H74" s="40"/>
      <c r="I74" s="41"/>
      <c r="J74" s="42" t="s">
        <v>108</v>
      </c>
      <c r="K74" s="40">
        <f>L74/L$27</f>
        <v>1.1081965671468559</v>
      </c>
      <c r="L74" s="41">
        <f>L41+L54+L72</f>
        <v>1583804.28</v>
      </c>
      <c r="M74" s="44"/>
      <c r="N74" s="46">
        <f t="shared" ref="N74:N82" si="20">L74-F74</f>
        <v>-3123.9826225063298</v>
      </c>
      <c r="O74" s="42" t="s">
        <v>108</v>
      </c>
      <c r="P74" s="40">
        <f>Q74/Q$27</f>
        <v>1.1646787008350012</v>
      </c>
      <c r="Q74" s="41">
        <f>Q41+Q54+Q72</f>
        <v>1705302.2999999998</v>
      </c>
      <c r="R74" s="44"/>
      <c r="S74" s="281">
        <f>L74-Q74</f>
        <v>-121498.01999999979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406819.60508727271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380131.24</v>
      </c>
      <c r="M75" s="223"/>
      <c r="N75" s="225">
        <f t="shared" si="20"/>
        <v>-26688.365087272716</v>
      </c>
      <c r="O75" s="223"/>
      <c r="P75" s="178"/>
      <c r="Q75" s="473" cm="1">
        <f t="array" ref="Q75">+SUMPRODUCT(('Réel 2024'!$A$8:$A$501=$A75)*('Réel 2024'!$C$3:$AO$3=Q$2),'Réel 2024'!$C$8:$AO$501)</f>
        <v>381369.73000000004</v>
      </c>
      <c r="R75" s="223"/>
      <c r="S75" s="197">
        <f t="shared" ref="S75:S82" si="21">L75-Q75</f>
        <v>-1238.4900000000489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439804.97847272729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417148.2</v>
      </c>
      <c r="M78" s="223"/>
      <c r="N78" s="225">
        <f t="shared" si="20"/>
        <v>-22656.778472727281</v>
      </c>
      <c r="O78" s="223"/>
      <c r="P78" s="178"/>
      <c r="Q78" s="473" cm="1">
        <f t="array" ref="Q78">+SUMPRODUCT(('Réel 2024'!$A$8:$A$501=$A78)*('Réel 2024'!$C$3:$AO$3=Q$2),'Réel 2024'!$C$8:$AO$501)</f>
        <v>436840.59999999992</v>
      </c>
      <c r="R78" s="223"/>
      <c r="S78" s="197">
        <f t="shared" si="21"/>
        <v>-19692.399999999907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148863.04999999999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142800</v>
      </c>
      <c r="M82" s="223"/>
      <c r="N82" s="225">
        <f t="shared" si="20"/>
        <v>-6063.0499999999884</v>
      </c>
      <c r="O82" s="223"/>
      <c r="P82" s="178"/>
      <c r="Q82" s="473" cm="1">
        <f t="array" ref="Q82">+SUMPRODUCT(('Réel 2024'!$A$8:$A$501=$A82)*('Réel 2024'!$C$3:$AO$3=Q$2),'Réel 2024'!$C$8:$AO$501)</f>
        <v>142800</v>
      </c>
      <c r="R82" s="223"/>
      <c r="S82" s="197">
        <f t="shared" si="21"/>
        <v>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995487.63355999999</v>
      </c>
      <c r="G83" s="42"/>
      <c r="H83" s="40"/>
      <c r="I83" s="41"/>
      <c r="J83" s="42"/>
      <c r="K83" s="40"/>
      <c r="L83" s="41">
        <f>+SUM(L75:L82)</f>
        <v>940079.44</v>
      </c>
      <c r="M83" s="44"/>
      <c r="N83" s="41">
        <f>+SUM(N75:N82)</f>
        <v>-55408.193559999985</v>
      </c>
      <c r="O83" s="42"/>
      <c r="P83" s="40"/>
      <c r="Q83" s="41">
        <f>+SUM(Q75:Q82)</f>
        <v>961010.33</v>
      </c>
      <c r="R83" s="44"/>
      <c r="S83" s="285">
        <f>+SUM(S75:S82)</f>
        <v>-20930.889999999956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790281.58038007887</v>
      </c>
      <c r="G85" s="379"/>
      <c r="H85" s="309"/>
      <c r="I85" s="306"/>
      <c r="J85" s="379"/>
      <c r="K85" s="305"/>
      <c r="L85" s="306">
        <f>L27-L74+L83</f>
        <v>785447.85999999684</v>
      </c>
      <c r="M85" s="379"/>
      <c r="N85" s="306">
        <f>N27-N74+N83</f>
        <v>-4833.7203800819698</v>
      </c>
      <c r="O85" s="379"/>
      <c r="P85" s="305"/>
      <c r="Q85" s="306">
        <f>Q27-Q74+Q83</f>
        <v>719890.63999999885</v>
      </c>
      <c r="R85" s="379"/>
      <c r="S85" s="310">
        <f>S27-S74+S83</f>
        <v>65557.219999998051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300" t="s">
        <v>77</v>
      </c>
      <c r="E91" s="1301"/>
      <c r="F91" s="1302"/>
      <c r="G91" s="1303"/>
      <c r="H91" s="1301"/>
      <c r="I91" s="1302"/>
      <c r="J91" s="1303" t="s">
        <v>78</v>
      </c>
      <c r="K91" s="1301"/>
      <c r="L91" s="1302"/>
      <c r="M91" s="1303" t="s">
        <v>2442</v>
      </c>
      <c r="N91" s="1302"/>
      <c r="O91" s="1300" t="s">
        <v>79</v>
      </c>
      <c r="P91" s="1301"/>
      <c r="Q91" s="1302"/>
      <c r="R91" s="1304" t="s">
        <v>2446</v>
      </c>
      <c r="S91" s="1305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16168588.235294115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14140870.019999998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14606868.269999968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71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163300</v>
      </c>
      <c r="G94" s="182"/>
      <c r="H94" s="179"/>
      <c r="I94" s="179"/>
      <c r="J94" s="182">
        <f>-SUMIFS(BV_Data_An_Cour!$P:$P,BV_Data_An_Cour!$U:$U,$B94,BV_Data_An_Cour!$V:$V,$C94,BV_Data_An_Cour!$W:$W,J$2)</f>
        <v>51</v>
      </c>
      <c r="K94" s="179">
        <f>IF(J94=0,0,L94/J94)</f>
        <v>2422.3088235294117</v>
      </c>
      <c r="L94" s="180">
        <f>-SUMIFS(BV_Data_An_Cour!$P:$P,BV_Data_An_Cour!$U:$U,$B94,BV_Data_An_Cour!$V:$V,$C94,BV_Data_An_Cour!$W:$W,$L2)</f>
        <v>123537.75</v>
      </c>
      <c r="M94" s="182">
        <f>J94-D94</f>
        <v>-20</v>
      </c>
      <c r="N94" s="180">
        <f>L94-F94</f>
        <v>-39762.25</v>
      </c>
      <c r="O94" s="182" cm="1">
        <f t="array" ref="O94">+SUMPRODUCT(('Réel 2024'!$A$8:$A$501=$A94)*('Réel 2024'!$C$3:$AO$3=O$2),'Réel 2024'!$C$8:$AO$501)</f>
        <v>57</v>
      </c>
      <c r="P94" s="179">
        <f t="shared" ref="P94:P100" si="24">IF(O94=0,0,Q94/O94)</f>
        <v>2328.6563157894689</v>
      </c>
      <c r="Q94" s="180" cm="1">
        <f t="array" ref="Q94">+SUMPRODUCT(('Réel 2024'!$A$8:$A$501=$A94)*('Réel 2024'!$C$3:$AO$3=Q$2),'Réel 2024'!$C$8:$AO$501)</f>
        <v>132733.40999999971</v>
      </c>
      <c r="R94" s="182">
        <f>J94-O94</f>
        <v>-6</v>
      </c>
      <c r="S94" s="345">
        <f>L94-Q94</f>
        <v>-9195.6599999997125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71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113600</v>
      </c>
      <c r="G95" s="182"/>
      <c r="H95" s="179"/>
      <c r="I95" s="179"/>
      <c r="J95" s="182">
        <f>-SUMIFS(BV_Data_An_Cour!$P:$P,BV_Data_An_Cour!$U:$U,$B95,BV_Data_An_Cour!$V:$V,$C95,BV_Data_An_Cour!$W:$W,J$2)</f>
        <v>70</v>
      </c>
      <c r="K95" s="179">
        <f>IF(J95=0,0,L95/J95)</f>
        <v>1649.1134285714311</v>
      </c>
      <c r="L95" s="473">
        <f>-SUMIFS(BV_Data_An_Cour!$P:$P,BV_Data_An_Cour!$U:$U,$B95,BV_Data_An_Cour!$V:$V,$C95,BV_Data_An_Cour!$W:$W,$L2)</f>
        <v>115437.94000000018</v>
      </c>
      <c r="M95" s="182">
        <f>J95-D95</f>
        <v>-1</v>
      </c>
      <c r="N95" s="180">
        <f>L95-F95</f>
        <v>1837.940000000177</v>
      </c>
      <c r="O95" s="182" cm="1">
        <f t="array" ref="O95">+SUMPRODUCT(('Réel 2024'!$A$8:$A$501=$A95)*('Réel 2024'!$C$3:$AO$3=O$2),'Réel 2024'!$C$8:$AO$501)</f>
        <v>66</v>
      </c>
      <c r="P95" s="179">
        <f t="shared" si="24"/>
        <v>2026.224545454543</v>
      </c>
      <c r="Q95" s="473" cm="1">
        <f t="array" ref="Q95">+SUMPRODUCT(('Réel 2024'!$A$8:$A$501=$A95)*('Réel 2024'!$C$3:$AO$3=Q$2),'Réel 2024'!$C$8:$AO$501)</f>
        <v>133730.81999999983</v>
      </c>
      <c r="R95" s="182">
        <f t="shared" ref="R95:R96" si="25">J95-O95</f>
        <v>4</v>
      </c>
      <c r="S95" s="345">
        <f t="shared" ref="S95:S96" si="26">L95-Q95</f>
        <v>-18292.879999999655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71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106500</v>
      </c>
      <c r="G96" s="182"/>
      <c r="H96" s="179"/>
      <c r="I96" s="179"/>
      <c r="J96" s="182">
        <f>-SUMIFS(BV_Data_An_Cour!$P:$P,BV_Data_An_Cour!$U:$U,$B96,BV_Data_An_Cour!$V:$V,$C96,BV_Data_An_Cour!$W:$W,J$2)</f>
        <v>61</v>
      </c>
      <c r="K96" s="179">
        <f>IF(J96=0,0,L96/J96)</f>
        <v>1498.5888524590152</v>
      </c>
      <c r="L96" s="473">
        <f>-SUMIFS(BV_Data_An_Cour!$P:$P,BV_Data_An_Cour!$U:$U,$B96,BV_Data_An_Cour!$V:$V,$C96,BV_Data_An_Cour!$W:$W,$L2)</f>
        <v>91413.919999999925</v>
      </c>
      <c r="M96" s="182">
        <f>J96-D96</f>
        <v>-10</v>
      </c>
      <c r="N96" s="180">
        <f>L96-F96</f>
        <v>-15086.080000000075</v>
      </c>
      <c r="O96" s="182" cm="1">
        <f t="array" ref="O96">+SUMPRODUCT(('Réel 2024'!$A$8:$A$501=$A96)*('Réel 2024'!$C$3:$AO$3=O$2),'Réel 2024'!$C$8:$AO$501)</f>
        <v>62</v>
      </c>
      <c r="P96" s="179">
        <f t="shared" si="24"/>
        <v>1129.7785483870948</v>
      </c>
      <c r="Q96" s="473" cm="1">
        <f t="array" ref="Q96">+SUMPRODUCT(('Réel 2024'!$A$8:$A$501=$A96)*('Réel 2024'!$C$3:$AO$3=Q$2),'Réel 2024'!$C$8:$AO$501)</f>
        <v>70046.269999999873</v>
      </c>
      <c r="R96" s="182">
        <f t="shared" si="25"/>
        <v>-1</v>
      </c>
      <c r="S96" s="345">
        <f t="shared" si="26"/>
        <v>21367.650000000052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213</v>
      </c>
      <c r="E97" s="179">
        <f t="shared" si="23"/>
        <v>1800</v>
      </c>
      <c r="F97" s="347">
        <f>+F94+F95+F96</f>
        <v>383400</v>
      </c>
      <c r="G97" s="348"/>
      <c r="H97" s="346"/>
      <c r="I97" s="347"/>
      <c r="J97" s="348">
        <f>+J94+J95+J96</f>
        <v>182</v>
      </c>
      <c r="K97" s="346">
        <f>IF(J97&lt;=0,0,L97/J97)</f>
        <v>1815.3275274725281</v>
      </c>
      <c r="L97" s="347">
        <f>+L94+L95+L96</f>
        <v>330389.6100000001</v>
      </c>
      <c r="M97" s="348">
        <f>J97-D97</f>
        <v>-31</v>
      </c>
      <c r="N97" s="347">
        <f>L97-F97</f>
        <v>-53010.389999999898</v>
      </c>
      <c r="O97" s="348">
        <f>+O95+O94+O96</f>
        <v>185</v>
      </c>
      <c r="P97" s="346">
        <f t="shared" si="24"/>
        <v>1818.9756756756726</v>
      </c>
      <c r="Q97" s="347">
        <f>+Q94+Q95+Q96</f>
        <v>336510.49999999942</v>
      </c>
      <c r="R97" s="348">
        <f>J97-O97</f>
        <v>-3</v>
      </c>
      <c r="S97" s="349">
        <f>L97-Q97</f>
        <v>-6120.8899999993155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-0.14553990610328638</v>
      </c>
      <c r="N98" s="234">
        <f>N97/F97</f>
        <v>-0.1382639280125193</v>
      </c>
      <c r="O98" s="223"/>
      <c r="P98" s="178"/>
      <c r="Q98" s="265"/>
      <c r="R98" s="235">
        <f>R97/O97</f>
        <v>-1.6216216216216217E-2</v>
      </c>
      <c r="S98" s="262">
        <f>IF(Q97=0,0,(S97/Q97))</f>
        <v>-1.8189298699444224E-2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209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73150</v>
      </c>
      <c r="G100" s="182"/>
      <c r="H100" s="179"/>
      <c r="I100" s="179"/>
      <c r="J100" s="182">
        <f>-SUMIFS(BV_Data_An_Cour!$P:$P,BV_Data_An_Cour!$U:$U,$B100,BV_Data_An_Cour!$V:$V,$C100,BV_Data_An_Cour!$W:$W,J$2)</f>
        <v>198</v>
      </c>
      <c r="K100" s="179">
        <f>IF(J100=0,0,L100/J100)</f>
        <v>405.88515151515037</v>
      </c>
      <c r="L100" s="180">
        <f>-SUMIFS(BV_Data_An_Cour!$P:$P,BV_Data_An_Cour!$U:$U,$B100,BV_Data_An_Cour!$V:$V,$C100,BV_Data_An_Cour!$W:$W,L$2)</f>
        <v>80365.259999999776</v>
      </c>
      <c r="M100" s="182">
        <f>J100-D100</f>
        <v>-11</v>
      </c>
      <c r="N100" s="180">
        <f>L100-F100</f>
        <v>7215.2599999997765</v>
      </c>
      <c r="O100" s="182" cm="1">
        <f t="array" ref="O100">+SUMPRODUCT(('Réel 2024'!$A$8:$A$501=$A100)*('Réel 2024'!$C$3:$AO$3=O$2),'Réel 2024'!$C$8:$AO$501)</f>
        <v>207</v>
      </c>
      <c r="P100" s="179">
        <f t="shared" si="24"/>
        <v>426.6239130434771</v>
      </c>
      <c r="Q100" s="180" cm="1">
        <f t="array" ref="Q100">+SUMPRODUCT(('Réel 2024'!$A$8:$A$501=$A100)*('Réel 2024'!$C$3:$AO$3=Q$2),'Réel 2024'!$C$8:$AO$501)</f>
        <v>88311.149999999761</v>
      </c>
      <c r="R100" s="182">
        <f>J100-O100</f>
        <v>-9</v>
      </c>
      <c r="S100" s="345">
        <f>L100-Q100</f>
        <v>-7945.8899999999849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80940</v>
      </c>
      <c r="G102" s="182"/>
      <c r="H102" s="179"/>
      <c r="I102" s="179"/>
      <c r="J102" s="182"/>
      <c r="K102" s="179">
        <f>IF(J97=0,0,L102/J97)</f>
        <v>351.63153846153847</v>
      </c>
      <c r="L102" s="180">
        <f>-SUMIFS(BV_Data_An_Cour!$P:$P,BV_Data_An_Cour!$U:$U,$B102,BV_Data_An_Cour!$V:$V,$C102,BV_Data_An_Cour!$W:$W,$L2)</f>
        <v>63996.94</v>
      </c>
      <c r="M102" s="182"/>
      <c r="N102" s="180">
        <f>L102-F102</f>
        <v>-16943.059999999998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68430.559999999983</v>
      </c>
      <c r="R102" s="182">
        <f>O102-K102</f>
        <v>-351.63153846153847</v>
      </c>
      <c r="S102" s="345">
        <f>L102-Q102</f>
        <v>-4433.6199999999808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181050</v>
      </c>
      <c r="G103" s="182"/>
      <c r="H103" s="179"/>
      <c r="I103" s="179"/>
      <c r="J103" s="182"/>
      <c r="K103" s="179">
        <f>IF(J97=0,0,L103/J97)</f>
        <v>954.87307692307706</v>
      </c>
      <c r="L103" s="180">
        <f>-SUMIFS(BV_Data_An_Cour!$P:$P,BV_Data_An_Cour!$U:$U,$B103,BV_Data_An_Cour!$V:$V,$C103,BV_Data_An_Cour!$W:$W,$L2)</f>
        <v>173786.90000000002</v>
      </c>
      <c r="M103" s="182"/>
      <c r="N103" s="180">
        <f>L103-F103</f>
        <v>-7263.0999999999767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149978.59</v>
      </c>
      <c r="R103" s="182">
        <f>O103-K103</f>
        <v>-954.87307692307706</v>
      </c>
      <c r="S103" s="345">
        <f>L103-Q103</f>
        <v>23808.310000000027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46860</v>
      </c>
      <c r="G104" s="182"/>
      <c r="H104" s="352"/>
      <c r="I104" s="179"/>
      <c r="J104" s="182"/>
      <c r="K104" s="352">
        <f>IF(J97=0,0,L104/J97)</f>
        <v>291.22164835164847</v>
      </c>
      <c r="L104" s="180">
        <f>-SUMIFS(BV_Data_An_Cour!$P:$P,BV_Data_An_Cour!$U:$U,$B104,BV_Data_An_Cour!$V:$V,$C104,BV_Data_An_Cour!$W:$W,$L$2)</f>
        <v>53002.340000000018</v>
      </c>
      <c r="M104" s="351"/>
      <c r="N104" s="180">
        <f>L104-F104</f>
        <v>6142.3400000000183</v>
      </c>
      <c r="O104" s="182" cm="1">
        <f t="array" ref="O104">+SUMPRODUCT(('Réel 2024'!$A$8:$A$501=$A104)*('Réel 2024'!$C$3:$AO$3=O$2),'Réel 2024'!$C$8:$AO$501)</f>
        <v>62</v>
      </c>
      <c r="P104" s="352">
        <f t="shared" si="29"/>
        <v>491.38774193548369</v>
      </c>
      <c r="Q104" s="180" cm="1">
        <f t="array" ref="Q104">+SUMPRODUCT(('Réel 2024'!$A$8:$A$501=$A104)*('Réel 2024'!$C$3:$AO$3=Q$2),'Réel 2024'!$C$8:$AO$501)</f>
        <v>30466.03999999999</v>
      </c>
      <c r="R104" s="182">
        <f>O104-K104</f>
        <v>-229.22164835164847</v>
      </c>
      <c r="S104" s="345">
        <f>L104-Q104</f>
        <v>22536.300000000028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213</v>
      </c>
      <c r="E105" s="179">
        <f t="shared" si="28"/>
        <v>1450</v>
      </c>
      <c r="F105" s="347">
        <f>F102+F103+F104</f>
        <v>308850</v>
      </c>
      <c r="G105" s="348"/>
      <c r="H105" s="346"/>
      <c r="I105" s="347"/>
      <c r="J105" s="348">
        <f>J97</f>
        <v>182</v>
      </c>
      <c r="K105" s="346">
        <f>IF(J105&lt;=0,0,L105/J105)</f>
        <v>1597.7262637362639</v>
      </c>
      <c r="L105" s="347">
        <f>L102+L103+L104</f>
        <v>290786.18000000005</v>
      </c>
      <c r="M105" s="182">
        <f>J105-D105</f>
        <v>-31</v>
      </c>
      <c r="N105" s="347">
        <f>L105-F105</f>
        <v>-18063.819999999949</v>
      </c>
      <c r="O105" s="348">
        <f>O97</f>
        <v>185</v>
      </c>
      <c r="P105" s="346">
        <f t="shared" si="29"/>
        <v>1345.271297297297</v>
      </c>
      <c r="Q105" s="347">
        <f>Q102+Q103+Q104</f>
        <v>248875.18999999994</v>
      </c>
      <c r="R105" s="356"/>
      <c r="S105" s="349">
        <f>L105-Q105</f>
        <v>41910.990000000107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-5.8487356321838914E-2</v>
      </c>
      <c r="O106" s="223"/>
      <c r="P106" s="178"/>
      <c r="Q106" s="225"/>
      <c r="R106" s="224"/>
      <c r="S106" s="262">
        <f>IF(Q105=0,0,(S105/Q105))</f>
        <v>0.1684016393920186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422</v>
      </c>
      <c r="E108" s="30">
        <f>IF(D108&lt;=0,0,F108/D108)</f>
        <v>1813.744075829384</v>
      </c>
      <c r="F108" s="28">
        <f>F97+F105+F100</f>
        <v>765400</v>
      </c>
      <c r="G108" s="29"/>
      <c r="H108" s="30"/>
      <c r="I108" s="28"/>
      <c r="J108" s="29">
        <f>J97+J100</f>
        <v>380</v>
      </c>
      <c r="K108" s="30">
        <f>IF(J108&lt;=0,0,L108/J108)</f>
        <v>1846.1606578947367</v>
      </c>
      <c r="L108" s="28">
        <f>L97+L105+L100</f>
        <v>701541.04999999993</v>
      </c>
      <c r="M108" s="29">
        <f>J108-D108</f>
        <v>-42</v>
      </c>
      <c r="N108" s="28">
        <f>L108-F108</f>
        <v>-63858.95000000007</v>
      </c>
      <c r="O108" s="29">
        <f>O97+O100</f>
        <v>392</v>
      </c>
      <c r="P108" s="30">
        <f>IF(O108&lt;=0,0,Q108/O108)</f>
        <v>1718.6143877550999</v>
      </c>
      <c r="Q108" s="28">
        <f>Q97+Q105+Q100</f>
        <v>673696.83999999915</v>
      </c>
      <c r="R108" s="29">
        <f>J108-O108</f>
        <v>-12</v>
      </c>
      <c r="S108" s="321">
        <f>L108-Q108</f>
        <v>27844.210000000778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-9.9526066350710901E-2</v>
      </c>
      <c r="N109" s="34">
        <f>N108/F108</f>
        <v>-8.3432126992422348E-2</v>
      </c>
      <c r="O109" s="31"/>
      <c r="P109" s="323"/>
      <c r="Q109" s="32"/>
      <c r="R109" s="33">
        <f>O108/R108</f>
        <v>-32.666666666666664</v>
      </c>
      <c r="S109" s="357">
        <f>IF(Q108=0,0,(S108/Q108))</f>
        <v>4.1330474401513911E-2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0.34328682468016558</v>
      </c>
      <c r="E112" s="195">
        <f t="shared" ref="E112:E121" si="30">F112/D$97</f>
        <v>617.91628442429806</v>
      </c>
      <c r="F112" s="179" cm="1">
        <f t="array" ref="F112">+SUMPRODUCT(('Budget original'!$A$8:$A$501=$A112)*('Budget original'!$C$3:$AO$3=F$2),'Budget original'!$C$8:$AO$501)</f>
        <v>131616.16858237548</v>
      </c>
      <c r="G112" s="293"/>
      <c r="H112" s="195"/>
      <c r="I112" s="179"/>
      <c r="J112" s="293">
        <f>L112/L97</f>
        <v>0.30967795869851955</v>
      </c>
      <c r="K112" s="195">
        <f>IF($J$97=0,0,L112/(J$94+J$95+J96))</f>
        <v>562.16692307692313</v>
      </c>
      <c r="L112" s="180">
        <f>SUMIFS(BV_Data_An_Cour!$P:$P,BV_Data_An_Cour!$U:$U,$B112,BV_Data_An_Cour!$V:$V,$C112,BV_Data_An_Cour!$W:$W,$L$2)</f>
        <v>102314.38</v>
      </c>
      <c r="M112" s="223"/>
      <c r="N112" s="225">
        <f t="shared" ref="N112:N153" si="31">L112-F112</f>
        <v>-29301.788582375477</v>
      </c>
      <c r="O112" s="293">
        <f>Q112/Q97</f>
        <v>0.35156608783381266</v>
      </c>
      <c r="P112" s="195">
        <f t="shared" ref="P112:P121" si="32">Q112/O$97</f>
        <v>639.49016216216216</v>
      </c>
      <c r="Q112" s="180" cm="1">
        <f t="array" ref="Q112">+SUMPRODUCT(('Réel 2024'!$A$8:$A$501=$A112)*('Réel 2024'!$C$3:$AO$3=Q$2),'Réel 2024'!$C$8:$AO$501)</f>
        <v>118305.68000000001</v>
      </c>
      <c r="R112" s="223"/>
      <c r="S112" s="197">
        <f t="shared" ref="S112:S122" si="33">L112-Q112</f>
        <v>-15991.300000000003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0.25210831011401807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84933.75</v>
      </c>
      <c r="G113" s="320"/>
      <c r="H113" s="358"/>
      <c r="I113" s="177"/>
      <c r="J113" s="320">
        <f>L113/L105</f>
        <v>0.24290277481550188</v>
      </c>
      <c r="K113" s="358">
        <f>IF($J$97=0,0,L113/(J$94+J$95+J96))</f>
        <v>388.0921428571429</v>
      </c>
      <c r="L113" s="180">
        <f>SUMIFS(BV_Data_An_Cour!$P:$P,BV_Data_An_Cour!$U:$U,$B113,BV_Data_An_Cour!$V:$V,$C113,BV_Data_An_Cour!$W:$W,$L$2)</f>
        <v>70632.77</v>
      </c>
      <c r="M113" s="278"/>
      <c r="N113" s="279">
        <f t="shared" si="31"/>
        <v>-14300.979999999996</v>
      </c>
      <c r="O113" s="320">
        <f>Q113/(Q105+Q19)</f>
        <v>0.2840897099794733</v>
      </c>
      <c r="P113" s="358">
        <f t="shared" si="32"/>
        <v>450.11291891891892</v>
      </c>
      <c r="Q113" s="180" cm="1">
        <f t="array" ref="Q113">+SUMPRODUCT(('Réel 2024'!$A$8:$A$501=$A113)*('Réel 2024'!$C$3:$AO$3=Q$2),'Réel 2024'!$C$8:$AO$501)</f>
        <v>83270.89</v>
      </c>
      <c r="R113" s="278"/>
      <c r="S113" s="200">
        <f t="shared" si="33"/>
        <v>-12638.119999999995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19170</v>
      </c>
      <c r="G114" s="269"/>
      <c r="H114" s="195"/>
      <c r="I114" s="179"/>
      <c r="J114" s="223"/>
      <c r="K114" s="195">
        <f>IF($J$97=0,0,L114/(J$94+J$95+J96))</f>
        <v>79.240714285714276</v>
      </c>
      <c r="L114" s="181">
        <f>SUMIFS(BV_Data_An_Cour!$P:$P,BV_Data_An_Cour!$U:$U,$B114,BV_Data_An_Cour!$V:$V,$C114,BV_Data_An_Cour!$W:$W,$L$2)</f>
        <v>14421.81</v>
      </c>
      <c r="M114" s="223"/>
      <c r="N114" s="225">
        <f t="shared" si="31"/>
        <v>-4748.1900000000005</v>
      </c>
      <c r="O114" s="223"/>
      <c r="P114" s="195">
        <f t="shared" si="32"/>
        <v>94.005081081081073</v>
      </c>
      <c r="Q114" s="181" cm="1">
        <f t="array" ref="Q114">+SUMPRODUCT(('Réel 2024'!$A$8:$A$501=$A114)*('Réel 2024'!$C$3:$AO$3=Q$2),'Réel 2024'!$C$8:$AO$501)</f>
        <v>17390.939999999999</v>
      </c>
      <c r="R114" s="223"/>
      <c r="S114" s="197">
        <f t="shared" si="33"/>
        <v>-2969.1299999999992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20022</v>
      </c>
      <c r="G115" s="269"/>
      <c r="H115" s="195"/>
      <c r="I115" s="179"/>
      <c r="J115" s="223"/>
      <c r="K115" s="195">
        <f>IF($J$97=0,0,L115/(J$94+J$95+J96))</f>
        <v>60.434505494505494</v>
      </c>
      <c r="L115" s="180">
        <f>SUMIFS(BV_Data_An_Cour!$P:$P,BV_Data_An_Cour!$U:$U,$B115,BV_Data_An_Cour!$V:$V,$C115,BV_Data_An_Cour!$W:$W,$L$2)</f>
        <v>10999.08</v>
      </c>
      <c r="M115" s="223"/>
      <c r="N115" s="225">
        <f t="shared" si="31"/>
        <v>-9022.92</v>
      </c>
      <c r="O115" s="223"/>
      <c r="P115" s="195">
        <f t="shared" si="32"/>
        <v>102.25216216216216</v>
      </c>
      <c r="Q115" s="180" cm="1">
        <f t="array" ref="Q115">+SUMPRODUCT(('Réel 2024'!$A$8:$A$501=$A115)*('Réel 2024'!$C$3:$AO$3=Q$2),'Réel 2024'!$C$8:$AO$501)</f>
        <v>18916.650000000001</v>
      </c>
      <c r="R115" s="223"/>
      <c r="S115" s="197">
        <f t="shared" si="33"/>
        <v>-7917.5700000000015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97.793427230046944</v>
      </c>
      <c r="F116" s="177" cm="1">
        <f t="array" ref="F116">+SUMPRODUCT(('Budget original'!$A$8:$A$501=$A116)*('Budget original'!$C$3:$AO$3=F$2),'Budget original'!$C$8:$AO$501)</f>
        <v>20830</v>
      </c>
      <c r="G116" s="277"/>
      <c r="H116" s="358"/>
      <c r="I116" s="177"/>
      <c r="J116" s="278"/>
      <c r="K116" s="358">
        <f>IF($J$97=0,0,L116/(J$94+J$95+J96))</f>
        <v>164.45895604395605</v>
      </c>
      <c r="L116" s="350">
        <f>SUMIFS(BV_Data_An_Cour!$P:$P,BV_Data_An_Cour!$U:$U,$B116,BV_Data_An_Cour!$V:$V,$C116,BV_Data_An_Cour!$W:$W,$L$2)</f>
        <v>29931.53</v>
      </c>
      <c r="M116" s="278"/>
      <c r="N116" s="279">
        <f t="shared" si="31"/>
        <v>9101.5299999999988</v>
      </c>
      <c r="O116" s="278"/>
      <c r="P116" s="358">
        <f t="shared" si="32"/>
        <v>105.71859459459459</v>
      </c>
      <c r="Q116" s="350" cm="1">
        <f t="array" ref="Q116">+SUMPRODUCT(('Réel 2024'!$A$8:$A$501=$A116)*('Réel 2024'!$C$3:$AO$3=Q$2),'Réel 2024'!$C$8:$AO$501)</f>
        <v>19557.939999999999</v>
      </c>
      <c r="R116" s="278"/>
      <c r="S116" s="200">
        <f t="shared" si="33"/>
        <v>10373.59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345.42253521126759</v>
      </c>
      <c r="F117" s="179" cm="1">
        <f t="array" ref="F117">+SUMPRODUCT(('Budget original'!$A$8:$A$501=$A117)*('Budget original'!$C$3:$AO$3=F$2),'Budget original'!$C$8:$AO$501)</f>
        <v>73575</v>
      </c>
      <c r="G117" s="269"/>
      <c r="H117" s="195"/>
      <c r="I117" s="179"/>
      <c r="J117" s="223"/>
      <c r="K117" s="195">
        <f t="shared" ref="K117:K121" si="34">IF($J$97=0,0,L117/(J$94+J$95))</f>
        <v>528.73347107438019</v>
      </c>
      <c r="L117" s="180">
        <f>SUMIFS(BV_Data_An_Cour!$P:$P,BV_Data_An_Cour!$U:$U,$B117,BV_Data_An_Cour!$V:$V,$C117,BV_Data_An_Cour!$W:$W,$L$2)</f>
        <v>63976.75</v>
      </c>
      <c r="M117" s="223"/>
      <c r="N117" s="225">
        <f t="shared" si="31"/>
        <v>-9598.25</v>
      </c>
      <c r="O117" s="223"/>
      <c r="P117" s="195">
        <f t="shared" si="32"/>
        <v>394.574162162162</v>
      </c>
      <c r="Q117" s="180" cm="1">
        <f t="array" ref="Q117">+SUMPRODUCT(('Réel 2024'!$A$8:$A$501=$A117)*('Réel 2024'!$C$3:$AO$3=Q$2),'Réel 2024'!$C$8:$AO$501)</f>
        <v>72996.219999999972</v>
      </c>
      <c r="R117" s="223"/>
      <c r="S117" s="197">
        <f t="shared" si="33"/>
        <v>-9019.4699999999721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250.43996328792431</v>
      </c>
      <c r="F118" s="179" cm="1">
        <f t="array" ref="F118">+SUMPRODUCT(('Budget original'!$A$8:$A$501=$A118)*('Budget original'!$C$3:$AO$3=F$2),'Budget original'!$C$8:$AO$501)</f>
        <v>53343.712180327879</v>
      </c>
      <c r="G118" s="269"/>
      <c r="H118" s="195"/>
      <c r="I118" s="179"/>
      <c r="J118" s="223"/>
      <c r="K118" s="195">
        <f t="shared" si="34"/>
        <v>371.5304132231405</v>
      </c>
      <c r="L118" s="180">
        <f>SUMIFS(BV_Data_An_Cour!$P:$P,BV_Data_An_Cour!$U:$U,$B118,BV_Data_An_Cour!$V:$V,$C118,BV_Data_An_Cour!$W:$W,$L$2)</f>
        <v>44955.18</v>
      </c>
      <c r="M118" s="223"/>
      <c r="N118" s="225">
        <f t="shared" si="31"/>
        <v>-8388.5321803278785</v>
      </c>
      <c r="O118" s="223"/>
      <c r="P118" s="195">
        <f t="shared" si="32"/>
        <v>420.51935135135136</v>
      </c>
      <c r="Q118" s="180" cm="1">
        <f t="array" ref="Q118">+SUMPRODUCT(('Réel 2024'!$A$8:$A$501=$A118)*('Réel 2024'!$C$3:$AO$3=Q$2),'Réel 2024'!$C$8:$AO$501)</f>
        <v>77796.08</v>
      </c>
      <c r="R118" s="223"/>
      <c r="S118" s="197">
        <f>L118-Q118</f>
        <v>-32840.9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0.52716309219062374</v>
      </c>
      <c r="F122" s="41">
        <f>SUM(F112:F121)</f>
        <v>403490.63076270337</v>
      </c>
      <c r="G122" s="42"/>
      <c r="H122" s="40"/>
      <c r="I122" s="41"/>
      <c r="J122" s="42" t="s">
        <v>108</v>
      </c>
      <c r="K122" s="40">
        <f>L122/L$108</f>
        <v>0.48070102241344259</v>
      </c>
      <c r="L122" s="41">
        <f>SUM(L112:L121)</f>
        <v>337231.5</v>
      </c>
      <c r="M122" s="44"/>
      <c r="N122" s="41">
        <f t="shared" si="31"/>
        <v>-66259.130762703368</v>
      </c>
      <c r="O122" s="42" t="s">
        <v>108</v>
      </c>
      <c r="P122" s="40">
        <f>Q122/Q$108</f>
        <v>0.60596157761405034</v>
      </c>
      <c r="Q122" s="41">
        <f>SUM(Q112:Q121)</f>
        <v>408234.39999999997</v>
      </c>
      <c r="R122" s="44"/>
      <c r="S122" s="285">
        <f t="shared" si="33"/>
        <v>-71002.899999999965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55008.519893899211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44760.68</v>
      </c>
      <c r="M123" s="223"/>
      <c r="N123" s="225">
        <f t="shared" si="31"/>
        <v>-10247.83989389921</v>
      </c>
      <c r="O123" s="223"/>
      <c r="P123" s="178"/>
      <c r="Q123" s="180" cm="1">
        <f t="array" ref="Q123">+SUMPRODUCT(('Réel 2024'!$A$8:$A$501=$A123)*('Réel 2024'!$C$3:$AO$3=Q$2),'Réel 2024'!$C$8:$AO$501)</f>
        <v>46510.609999999993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30713.983524904212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33258.449999999997</v>
      </c>
      <c r="M124" s="223"/>
      <c r="N124" s="225">
        <f t="shared" si="31"/>
        <v>2544.4664750957854</v>
      </c>
      <c r="O124" s="223"/>
      <c r="P124" s="178"/>
      <c r="Q124" s="177" cm="1">
        <f t="array" ref="Q124">+SUMPRODUCT(('Réel 2024'!$A$8:$A$501=$A124)*('Réel 2024'!$C$3:$AO$3=Q$2),'Réel 2024'!$C$8:$AO$501)</f>
        <v>31889.65</v>
      </c>
      <c r="R124" s="223"/>
      <c r="S124" s="197">
        <f t="shared" ref="S124:S153" si="35">L124-Q124</f>
        <v>1368.7999999999956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30899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30899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30899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38241.178538316701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41656.1</v>
      </c>
      <c r="M130" s="223"/>
      <c r="N130" s="225">
        <f t="shared" si="31"/>
        <v>3414.9214616832978</v>
      </c>
      <c r="O130" s="223"/>
      <c r="P130" s="178"/>
      <c r="Q130" s="180" cm="1">
        <f t="array" ref="Q130">+SUMPRODUCT(('Réel 2024'!$A$8:$A$501=$A130)*('Réel 2024'!$C$3:$AO$3=Q$2),'Réel 2024'!$C$8:$AO$501)</f>
        <v>39490.81</v>
      </c>
      <c r="R130" s="223"/>
      <c r="S130" s="197">
        <f>L130-Q130</f>
        <v>2165.2900000000009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47275.800420915264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40852.49</v>
      </c>
      <c r="M131" s="273"/>
      <c r="N131" s="274">
        <f t="shared" si="31"/>
        <v>-6423.3104209152661</v>
      </c>
      <c r="O131" s="273"/>
      <c r="P131" s="271"/>
      <c r="Q131" s="374" cm="1">
        <f t="array" ref="Q131">+SUMPRODUCT(('Réel 2024'!$A$8:$A$501=$A131)*('Réel 2024'!$C$3:$AO$3=Q$2),'Réel 2024'!$C$8:$AO$501)</f>
        <v>37401.350000000006</v>
      </c>
      <c r="R131" s="273"/>
      <c r="S131" s="199">
        <f t="shared" si="35"/>
        <v>3451.1399999999921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24408.831626790452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23935.63</v>
      </c>
      <c r="M132" s="223"/>
      <c r="N132" s="225">
        <f t="shared" si="31"/>
        <v>-473.20162679045097</v>
      </c>
      <c r="O132" s="223"/>
      <c r="P132" s="178"/>
      <c r="Q132" s="180" cm="1">
        <f t="array" ref="Q132">+SUMPRODUCT(('Réel 2024'!$A$8:$A$501=$A132)*('Réel 2024'!$C$3:$AO$3=Q$2),'Réel 2024'!$C$8:$AO$501)</f>
        <v>23116.89</v>
      </c>
      <c r="R132" s="223"/>
      <c r="S132" s="197">
        <f t="shared" si="35"/>
        <v>818.7400000000016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5230.4639200265237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6588.98</v>
      </c>
      <c r="M133" s="223"/>
      <c r="N133" s="225">
        <f t="shared" si="31"/>
        <v>1358.5160799734758</v>
      </c>
      <c r="O133" s="223"/>
      <c r="P133" s="178"/>
      <c r="Q133" s="180" cm="1">
        <f t="array" ref="Q133">+SUMPRODUCT(('Réel 2024'!$A$8:$A$501=$A133)*('Réel 2024'!$C$3:$AO$3=Q$2),'Réel 2024'!$C$8:$AO$501)</f>
        <v>4106.05</v>
      </c>
      <c r="R133" s="223"/>
      <c r="S133" s="197">
        <f t="shared" si="35"/>
        <v>2482.9299999999994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0.30281915067265797</v>
      </c>
      <c r="F135" s="41">
        <f>+SUM(F123:F134)</f>
        <v>231777.77792485239</v>
      </c>
      <c r="G135" s="42"/>
      <c r="H135" s="40"/>
      <c r="I135" s="41"/>
      <c r="J135" s="42" t="s">
        <v>108</v>
      </c>
      <c r="K135" s="40">
        <f>L135/L$108</f>
        <v>0.3163768249912105</v>
      </c>
      <c r="L135" s="41">
        <f>SUM(L123:L134)</f>
        <v>221951.33000000002</v>
      </c>
      <c r="M135" s="1018"/>
      <c r="N135" s="1019">
        <f t="shared" si="31"/>
        <v>-9826.4479248523712</v>
      </c>
      <c r="O135" s="42" t="s">
        <v>108</v>
      </c>
      <c r="P135" s="40">
        <f>Q135/Q$108</f>
        <v>0.31678100197115405</v>
      </c>
      <c r="Q135" s="41">
        <f>+SUM(Q123:Q134)</f>
        <v>213414.36</v>
      </c>
      <c r="R135" s="43"/>
      <c r="S135" s="281">
        <f t="shared" si="35"/>
        <v>8536.9700000000303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10379.966666666667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11292.66</v>
      </c>
      <c r="M138" s="278"/>
      <c r="N138" s="279">
        <f t="shared" si="31"/>
        <v>912.6933333333327</v>
      </c>
      <c r="O138" s="278"/>
      <c r="P138" s="276"/>
      <c r="Q138" s="177" cm="1">
        <f t="array" ref="Q138">+SUMPRODUCT(('Réel 2024'!$A$8:$A$501=$A138)*('Réel 2024'!$C$3:$AO$3=Q$2),'Réel 2024'!$C$8:$AO$501)</f>
        <v>11862.35</v>
      </c>
      <c r="R138" s="278"/>
      <c r="S138" s="200">
        <f t="shared" si="35"/>
        <v>-569.69000000000051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15679.399999999998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16090.34</v>
      </c>
      <c r="M139" s="223"/>
      <c r="N139" s="225">
        <f t="shared" si="31"/>
        <v>410.94000000000233</v>
      </c>
      <c r="O139" s="223"/>
      <c r="P139" s="178"/>
      <c r="Q139" s="180" cm="1">
        <f t="array" ref="Q139">+SUMPRODUCT(('Réel 2024'!$A$8:$A$501=$A139)*('Réel 2024'!$C$3:$AO$3=Q$2),'Réel 2024'!$C$8:$AO$501)</f>
        <v>16462.859999999997</v>
      </c>
      <c r="R139" s="223"/>
      <c r="S139" s="197">
        <f t="shared" si="35"/>
        <v>-372.5199999999968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2016.6666666666663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1549.39</v>
      </c>
      <c r="M140" s="223"/>
      <c r="N140" s="225">
        <f t="shared" si="31"/>
        <v>-467.27666666666619</v>
      </c>
      <c r="O140" s="223"/>
      <c r="P140" s="178"/>
      <c r="Q140" s="180" cm="1">
        <f t="array" ref="Q140">+SUMPRODUCT(('Réel 2024'!$A$8:$A$501=$A140)*('Réel 2024'!$C$3:$AO$3=Q$2),'Réel 2024'!$C$8:$AO$501)</f>
        <v>1741.9999999999995</v>
      </c>
      <c r="R140" s="223"/>
      <c r="S140" s="197">
        <f t="shared" si="35"/>
        <v>-192.60999999999945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8102.6000000000022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8014.12</v>
      </c>
      <c r="M141" s="278"/>
      <c r="N141" s="279">
        <f t="shared" si="31"/>
        <v>-88.480000000002292</v>
      </c>
      <c r="O141" s="278"/>
      <c r="P141" s="276"/>
      <c r="Q141" s="177" cm="1">
        <f t="array" ref="Q141">+SUMPRODUCT(('Réel 2024'!$A$8:$A$501=$A141)*('Réel 2024'!$C$3:$AO$3=Q$2),'Réel 2024'!$C$8:$AO$501)</f>
        <v>9538.409999999998</v>
      </c>
      <c r="R141" s="278"/>
      <c r="S141" s="200">
        <f t="shared" si="35"/>
        <v>-1524.2899999999981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192.5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-41.949999999999989</v>
      </c>
      <c r="O142" s="223"/>
      <c r="P142" s="178"/>
      <c r="Q142" s="180" cm="1">
        <f t="array" ref="Q142">+SUMPRODUCT(('Réel 2024'!$A$8:$A$501=$A142)*('Réel 2024'!$C$3:$AO$3=Q$2),'Réel 2024'!$C$8:$AO$501)</f>
        <v>175.34</v>
      </c>
      <c r="R142" s="223"/>
      <c r="S142" s="197">
        <f t="shared" si="35"/>
        <v>-24.789999999999992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110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-30.019999999999996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1732.5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1723.16</v>
      </c>
      <c r="M144" s="223"/>
      <c r="N144" s="225">
        <f t="shared" si="31"/>
        <v>-9.3399999999999181</v>
      </c>
      <c r="O144" s="223"/>
      <c r="P144" s="178"/>
      <c r="Q144" s="473" cm="1">
        <f t="array" ref="Q144">+SUMPRODUCT(('Réel 2024'!$A$8:$A$501=$A144)*('Réel 2024'!$C$3:$AO$3=Q$2),'Réel 2024'!$C$8:$AO$501)</f>
        <v>1885.75</v>
      </c>
      <c r="R144" s="223"/>
      <c r="S144" s="197">
        <f t="shared" si="35"/>
        <v>-162.58999999999992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695.2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892.25</v>
      </c>
      <c r="M145" s="223"/>
      <c r="N145" s="225">
        <f t="shared" si="31"/>
        <v>197.04999999999995</v>
      </c>
      <c r="O145" s="223"/>
      <c r="P145" s="178"/>
      <c r="Q145" s="180" cm="1">
        <f t="array" ref="Q145">+SUMPRODUCT(('Réel 2024'!$A$8:$A$501=$A145)*('Réel 2024'!$C$3:$AO$3=Q$2),'Réel 2024'!$C$8:$AO$501)</f>
        <v>944.31</v>
      </c>
      <c r="R145" s="223"/>
      <c r="S145" s="197">
        <f t="shared" si="35"/>
        <v>-52.059999999999945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495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1206.8699999999999</v>
      </c>
      <c r="M146" s="223"/>
      <c r="N146" s="225">
        <f t="shared" si="31"/>
        <v>711.86999999999989</v>
      </c>
      <c r="O146" s="223"/>
      <c r="P146" s="178"/>
      <c r="Q146" s="180" cm="1">
        <f t="array" ref="Q146">+SUMPRODUCT(('Réel 2024'!$A$8:$A$501=$A146)*('Réel 2024'!$C$3:$AO$3=Q$2),'Réel 2024'!$C$8:$AO$501)</f>
        <v>1730.7899999999997</v>
      </c>
      <c r="R146" s="223"/>
      <c r="S146" s="197">
        <f t="shared" si="35"/>
        <v>-523.91999999999985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1915.1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2095.7800000000002</v>
      </c>
      <c r="M147" s="223"/>
      <c r="N147" s="225">
        <f t="shared" si="31"/>
        <v>180.68000000000029</v>
      </c>
      <c r="O147" s="223"/>
      <c r="P147" s="178"/>
      <c r="Q147" s="180" cm="1">
        <f t="array" ref="Q147">+SUMPRODUCT(('Réel 2024'!$A$8:$A$501=$A147)*('Réel 2024'!$C$3:$AO$3=Q$2),'Réel 2024'!$C$8:$AO$501)</f>
        <v>1777.8799999999999</v>
      </c>
      <c r="R147" s="223"/>
      <c r="S147" s="197">
        <f t="shared" si="35"/>
        <v>317.90000000000032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1364.4485800000002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529.20000000000005</v>
      </c>
      <c r="M148" s="223"/>
      <c r="N148" s="225">
        <f t="shared" si="31"/>
        <v>-835.24858000000017</v>
      </c>
      <c r="O148" s="223"/>
      <c r="P148" s="178"/>
      <c r="Q148" s="180" cm="1">
        <f t="array" ref="Q148">+SUMPRODUCT(('Réel 2024'!$A$8:$A$501=$A148)*('Réel 2024'!$C$3:$AO$3=Q$2),'Réel 2024'!$C$8:$AO$501)</f>
        <v>655.74</v>
      </c>
      <c r="R148" s="223"/>
      <c r="S148" s="197">
        <f t="shared" si="35"/>
        <v>-126.53999999999996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7376.5092281756679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7250.06</v>
      </c>
      <c r="M149" s="223"/>
      <c r="N149" s="225">
        <f t="shared" si="31"/>
        <v>-126.44922817566749</v>
      </c>
      <c r="O149" s="223"/>
      <c r="P149" s="178"/>
      <c r="Q149" s="180" cm="1">
        <f t="array" ref="Q149">+SUMPRODUCT(('Réel 2024'!$A$8:$A$501=$A149)*('Réel 2024'!$C$3:$AO$3=Q$2),'Réel 2024'!$C$8:$AO$501)</f>
        <v>7405.91</v>
      </c>
      <c r="R149" s="223"/>
      <c r="S149" s="197">
        <f>L149-Q149</f>
        <v>-155.84999999999945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6.5403568253865951E-2</v>
      </c>
      <c r="F153" s="41">
        <f>+SUM(F136:F152)</f>
        <v>50059.891141508997</v>
      </c>
      <c r="G153" s="42"/>
      <c r="H153" s="40"/>
      <c r="I153" s="41"/>
      <c r="J153" s="42" t="s">
        <v>108</v>
      </c>
      <c r="K153" s="40">
        <f>L153/L$108</f>
        <v>7.2518008746601512E-2</v>
      </c>
      <c r="L153" s="41">
        <f>+SUM(L136:L152)</f>
        <v>50874.360000000008</v>
      </c>
      <c r="M153" s="44"/>
      <c r="N153" s="41">
        <f t="shared" si="31"/>
        <v>814.46885849101091</v>
      </c>
      <c r="O153" s="42" t="s">
        <v>108</v>
      </c>
      <c r="P153" s="40">
        <f>Q153/Q$108</f>
        <v>8.0698626996677111E-2</v>
      </c>
      <c r="Q153" s="41">
        <f>+SUM(Q136:Q152)</f>
        <v>54366.409999999989</v>
      </c>
      <c r="R153" s="44"/>
      <c r="S153" s="285">
        <f t="shared" si="35"/>
        <v>-3492.0499999999811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0.89538581111714743</v>
      </c>
      <c r="F155" s="41">
        <f>F122+F135+F153</f>
        <v>685328.29982906464</v>
      </c>
      <c r="G155" s="42"/>
      <c r="H155" s="40"/>
      <c r="I155" s="41"/>
      <c r="J155" s="42" t="s">
        <v>108</v>
      </c>
      <c r="K155" s="40">
        <f>L155/L$108</f>
        <v>0.86959585615125456</v>
      </c>
      <c r="L155" s="41">
        <f>L122+L135+L153</f>
        <v>610057.19000000006</v>
      </c>
      <c r="M155" s="44"/>
      <c r="N155" s="46">
        <f t="shared" ref="N155:N162" si="36">L155-F155</f>
        <v>-75271.109829064575</v>
      </c>
      <c r="O155" s="42" t="s">
        <v>108</v>
      </c>
      <c r="P155" s="40">
        <f>Q155/Q$108</f>
        <v>1.0034412065818816</v>
      </c>
      <c r="Q155" s="41">
        <f>Q122+Q135+Q153</f>
        <v>676015.17</v>
      </c>
      <c r="R155" s="44"/>
      <c r="S155" s="281">
        <f t="shared" ref="S155:S162" si="37">L155-Q155</f>
        <v>-65957.979999999981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26625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14775</v>
      </c>
      <c r="M156" s="223"/>
      <c r="N156" s="225">
        <f t="shared" si="36"/>
        <v>-11850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-1275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9514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-8639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105190.05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94605</v>
      </c>
      <c r="M159" s="223"/>
      <c r="N159" s="225">
        <f t="shared" si="36"/>
        <v>-10585.050000000003</v>
      </c>
      <c r="O159" s="223"/>
      <c r="P159" s="178"/>
      <c r="Q159" s="180" cm="1">
        <f t="array" ref="Q159">+SUMPRODUCT(('Réel 2024'!$A$8:$A$501=$A159)*('Réel 2024'!$C$3:$AO$3=Q$2),'Réel 2024'!$C$8:$AO$501)</f>
        <v>92225</v>
      </c>
      <c r="R159" s="223"/>
      <c r="S159" s="197">
        <f t="shared" si="37"/>
        <v>2380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141329.04999999999</v>
      </c>
      <c r="G163" s="42"/>
      <c r="H163" s="40"/>
      <c r="I163" s="41"/>
      <c r="J163" s="42"/>
      <c r="K163" s="40"/>
      <c r="L163" s="41">
        <f>+SUM(L156:L162)</f>
        <v>110255</v>
      </c>
      <c r="M163" s="44"/>
      <c r="N163" s="41">
        <f>SUM(N156:N159)</f>
        <v>-31074.050000000003</v>
      </c>
      <c r="O163" s="42"/>
      <c r="P163" s="40"/>
      <c r="Q163" s="41">
        <f>+SUM(Q156:Q162)</f>
        <v>134350</v>
      </c>
      <c r="R163" s="44"/>
      <c r="S163" s="285">
        <f>+SUM(S156:S162)</f>
        <v>-24095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221400.75017093535</v>
      </c>
      <c r="G165" s="307"/>
      <c r="H165" s="305"/>
      <c r="I165" s="306"/>
      <c r="J165" s="308"/>
      <c r="K165" s="309"/>
      <c r="L165" s="306">
        <f>L108-L155+L163</f>
        <v>201738.85999999987</v>
      </c>
      <c r="M165" s="308"/>
      <c r="N165" s="306">
        <f>L165-F165</f>
        <v>-19661.890170935483</v>
      </c>
      <c r="O165" s="308"/>
      <c r="P165" s="309"/>
      <c r="Q165" s="306">
        <f>Q108-Q155+Q163</f>
        <v>132031.66999999911</v>
      </c>
      <c r="R165" s="308"/>
      <c r="S165" s="310">
        <f>L165-Q165</f>
        <v>69707.190000000759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300" t="s">
        <v>77</v>
      </c>
      <c r="E170" s="1301"/>
      <c r="F170" s="1302"/>
      <c r="G170" s="1303"/>
      <c r="H170" s="1301"/>
      <c r="I170" s="1302"/>
      <c r="J170" s="1303" t="s">
        <v>78</v>
      </c>
      <c r="K170" s="1301"/>
      <c r="L170" s="1302"/>
      <c r="M170" s="1303" t="s">
        <v>2442</v>
      </c>
      <c r="N170" s="1302"/>
      <c r="O170" s="1300" t="s">
        <v>79</v>
      </c>
      <c r="P170" s="1301"/>
      <c r="Q170" s="1302"/>
      <c r="R170" s="1304" t="s">
        <v>2446</v>
      </c>
      <c r="S170" s="1305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0" cm="1">
        <f t="array" ref="D172">+SUMPRODUCT(('Budget original'!$A$8:$A$501=$A172)*('Budget original'!$C$3:$AO$3=D$2),'Budget original'!$C$8:$AO$501)</f>
        <v>2231.1971689912957</v>
      </c>
      <c r="E172" s="195" cm="1">
        <f t="array" ref="E172">+SUMPRODUCT(('Budget original'!$A$8:$A$501=$A172)*('Budget original'!$C$3:$AO$3=E$2),'Budget original'!$C$8:$AO$501)</f>
        <v>758607.03745704051</v>
      </c>
      <c r="F172" s="195" cm="1">
        <f t="array" ref="F172">+SUMPRODUCT(('Budget original'!$A$8:$A$501=$A172)*('Budget original'!$C$3:$AO$3=F$2),'Budget original'!$C$8:$AO$501)</f>
        <v>594747.91736631969</v>
      </c>
      <c r="G172" s="311"/>
      <c r="H172" s="195"/>
      <c r="I172" s="195"/>
      <c r="J172" s="224">
        <f>-SUMIFS(BV_Data_An_Cour!$P:$P,BV_Data_An_Cour!$U:$U,$B172,BV_Data_An_Cour!$V:$V,$C172,BV_Data_An_Cour!$W:$W,J$2)</f>
        <v>2311</v>
      </c>
      <c r="K172" s="179">
        <f>-SUMIFS(BV_Data_An_Cour!$P:$P,BV_Data_An_Cour!$X:$X,"Oui",BV_Data_An_Cour!$U:$U,$B172,BV_Data_An_Cour!$V:$V,$C172)</f>
        <v>760679.4</v>
      </c>
      <c r="L172" s="180">
        <f>-SUMIFS(BV_Data_An_Cour!$P:$P,BV_Data_An_Cour!$U:$U,$B172,BV_Data_An_Cour!$V:$V,$C172,BV_Data_An_Cour!$W:$W,$L$2)</f>
        <v>601476.55999999994</v>
      </c>
      <c r="M172" s="293">
        <f>(K172-E172)/E172</f>
        <v>2.7317997864960077E-3</v>
      </c>
      <c r="N172" s="225">
        <f>L172-F172</f>
        <v>6728.6426336802542</v>
      </c>
      <c r="O172" s="224" cm="1">
        <f t="array" ref="O172">+SUMPRODUCT(('Réel 2024'!$A$8:$A$501=$A172)*('Réel 2024'!$C$3:$AO$3=O$2),'Réel 2024'!$C$8:$AO$501)</f>
        <v>2197</v>
      </c>
      <c r="P172" s="179" cm="1">
        <f t="array" ref="P172">+SUMPRODUCT(('Réel 2024'!$A$8:$A$501=$A172)*('Réel 2024'!$C$3:$AO$3=P$2),'Réel 2024'!$C$8:$AO$501)</f>
        <v>688107.67999999993</v>
      </c>
      <c r="Q172" s="180" cm="1">
        <f t="array" ref="Q172">+SUMPRODUCT(('Réel 2024'!$A$8:$A$501=$A172)*('Réel 2024'!$C$3:$AO$3=Q$2),'Réel 2024'!$C$8:$AO$501)</f>
        <v>544584.13999999966</v>
      </c>
      <c r="R172" s="293">
        <f>IF(O172=0,0,J172/O172)</f>
        <v>1.0518889394629038</v>
      </c>
      <c r="S172" s="197">
        <f>L172-Q172</f>
        <v>56892.420000000275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0.78399999999999992</v>
      </c>
      <c r="G173" s="223"/>
      <c r="H173" s="226"/>
      <c r="I173" s="227"/>
      <c r="J173" s="224"/>
      <c r="K173" s="178"/>
      <c r="L173" s="227">
        <f>IF(L172=0,0,L172/K172)</f>
        <v>0.79070967348399324</v>
      </c>
      <c r="M173" s="293"/>
      <c r="N173" s="225"/>
      <c r="O173" s="224"/>
      <c r="P173" s="178"/>
      <c r="Q173" s="227">
        <f>Q172/P172</f>
        <v>0.79142284823793818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1268">
        <f>IFERROR(K172/J172,0)</f>
        <v>329.15594980527914</v>
      </c>
      <c r="L174" s="318"/>
      <c r="M174" s="320"/>
      <c r="N174" s="279"/>
      <c r="O174" s="302"/>
      <c r="P174" s="495">
        <f>IFERROR(P172/O172,0)</f>
        <v>313.20331360946744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2" cm="1">
        <f t="array" ref="D175">+SUMPRODUCT(('Budget original'!$A$8:$A$501=$A175)*('Budget original'!$C$3:$AO$3=D$2),'Budget original'!$C$8:$AO$501)</f>
        <v>1827.2123869250167</v>
      </c>
      <c r="E175" s="195" cm="1">
        <f t="array" ref="E175">+SUMPRODUCT(('Budget original'!$A$8:$A$501=$A175)*('Budget original'!$C$3:$AO$3=E$2),'Budget original'!$C$8:$AO$501)</f>
        <v>266773.00849105249</v>
      </c>
      <c r="F175" s="195" cm="1">
        <f t="array" ref="F175">+SUMPRODUCT(('Budget original'!$A$8:$A$501=$A175)*('Budget original'!$C$3:$AO$3=F$2),'Budget original'!$C$8:$AO$501)</f>
        <v>170734.7254342736</v>
      </c>
      <c r="G175" s="314"/>
      <c r="H175" s="195"/>
      <c r="I175" s="195"/>
      <c r="J175" s="314">
        <f>-SUMIFS(BV_Data_An_Cour!$P:$P,BV_Data_An_Cour!$U:$U,$B175,BV_Data_An_Cour!$V:$V,$C175,BV_Data_An_Cour!$W:$W,J$2)</f>
        <v>2112</v>
      </c>
      <c r="K175" s="186">
        <f>-SUMIFS(BV_Data_An_Cour!$P:$P,BV_Data_An_Cour!$X:$X,"Oui",BV_Data_An_Cour!$U:$U,$B175,BV_Data_An_Cour!$V:$V,$C175)</f>
        <v>408974.56999999995</v>
      </c>
      <c r="L175" s="180">
        <f>-SUMIFS(BV_Data_An_Cour!$P:$P,BV_Data_An_Cour!$U:$U,$B175,BV_Data_An_Cour!$V:$V,$C175,BV_Data_An_Cour!$W:$W,$L$2)</f>
        <v>271648.53999999992</v>
      </c>
      <c r="M175" s="293">
        <f>(K175-E175)/E175</f>
        <v>0.5330432876747232</v>
      </c>
      <c r="N175" s="274">
        <f>L175-F175</f>
        <v>100913.81456572632</v>
      </c>
      <c r="O175" s="314" cm="1">
        <f t="array" ref="O175">+SUMPRODUCT(('Réel 2024'!$A$8:$A$501=$A175)*('Réel 2024'!$C$3:$AO$3=O$2),'Réel 2024'!$C$8:$AO$501)</f>
        <v>1810</v>
      </c>
      <c r="P175" s="186" cm="1">
        <f t="array" ref="P175">+SUMPRODUCT(('Réel 2024'!$A$8:$A$501=$A175)*('Réel 2024'!$C$3:$AO$3=P$2),'Réel 2024'!$C$8:$AO$501)</f>
        <v>283107.37999999977</v>
      </c>
      <c r="Q175" s="180" cm="1">
        <f t="array" ref="Q175">+SUMPRODUCT(('Réel 2024'!$A$8:$A$501=$A175)*('Réel 2024'!$C$3:$AO$3=Q$2),'Réel 2024'!$C$8:$AO$501)</f>
        <v>190413.2399999997</v>
      </c>
      <c r="R175" s="293">
        <f>IF(O175=0,0,J175/O175)</f>
        <v>1.1668508287292818</v>
      </c>
      <c r="S175" s="197">
        <f>L175-Q175</f>
        <v>81235.300000000221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0.66421865789846046</v>
      </c>
      <c r="M176" s="235"/>
      <c r="N176" s="234"/>
      <c r="O176" s="223"/>
      <c r="P176" s="178"/>
      <c r="Q176" s="227">
        <f>Q175/P175</f>
        <v>0.67258310256694775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0" cm="1">
        <f t="array" ref="D178">+SUMPRODUCT(('Budget original'!$A$8:$A$501=$A178)*('Budget original'!$C$3:$AO$3=D$2),'Budget original'!$C$8:$AO$501)</f>
        <v>1980.8338835491652</v>
      </c>
      <c r="E178" s="195" cm="1">
        <f t="array" ref="E178">+SUMPRODUCT(('Budget original'!$A$8:$A$501=$A178)*('Budget original'!$C$3:$AO$3=E$2),'Budget original'!$C$8:$AO$501)</f>
        <v>475400.13205179968</v>
      </c>
      <c r="F178" s="195" cm="1">
        <f t="array" ref="F178">+SUMPRODUCT(('Budget original'!$A$8:$A$501=$A178)*('Budget original'!$C$3:$AO$3=F$2),'Budget original'!$C$8:$AO$501)</f>
        <v>320895.0891349648</v>
      </c>
      <c r="G178" s="223"/>
      <c r="H178" s="195"/>
      <c r="I178" s="195"/>
      <c r="J178" s="224">
        <f>-SUMIFS(BV_Data_An_Cour!$P:$P,BV_Data_An_Cour!$U:$U,$B178,BV_Data_An_Cour!$V:$V,$C178,BV_Data_An_Cour!$W:$W,J$2)</f>
        <v>1494</v>
      </c>
      <c r="K178" s="186">
        <f>-SUMIFS(BV_Data_An_Cour!$P:$P,BV_Data_An_Cour!$X:$X,"Oui",BV_Data_An_Cour!$U:$U,$B178,BV_Data_An_Cour!$V:$V,$C178)</f>
        <v>596491.68000000005</v>
      </c>
      <c r="L178" s="180">
        <f>-SUMIFS(BV_Data_An_Cour!$P:$P,BV_Data_An_Cour!$U:$U,$B178,BV_Data_An_Cour!$V:$V,$C178,BV_Data_An_Cour!$W:$W,$L$2)</f>
        <v>451020.27999999997</v>
      </c>
      <c r="M178" s="293">
        <f>(K178-E178)/E178</f>
        <v>0.25471500696808014</v>
      </c>
      <c r="N178" s="225">
        <f>L178-F178</f>
        <v>130125.19086503517</v>
      </c>
      <c r="O178" s="224" cm="1">
        <f t="array" ref="O178">+SUMPRODUCT(('Réel 2024'!$A$8:$A$501=$A178)*('Réel 2024'!$C$3:$AO$3=O$2),'Réel 2024'!$C$8:$AO$501)</f>
        <v>1846</v>
      </c>
      <c r="P178" s="186" cm="1">
        <f t="array" ref="P178">+SUMPRODUCT(('Réel 2024'!$A$8:$A$501=$A178)*('Réel 2024'!$C$3:$AO$3=P$2),'Réel 2024'!$C$8:$AO$501)</f>
        <v>445130.58999999973</v>
      </c>
      <c r="Q178" s="180" cm="1">
        <f t="array" ref="Q178">+SUMPRODUCT(('Réel 2024'!$A$8:$A$501=$A178)*('Réel 2024'!$C$3:$AO$3=Q$2),'Réel 2024'!$C$8:$AO$501)</f>
        <v>276142.3699999997</v>
      </c>
      <c r="R178" s="293">
        <f>IF(O178=0,0,J178/O178)</f>
        <v>0.80931744312025999</v>
      </c>
      <c r="S178" s="197">
        <f>L178-Q178</f>
        <v>174877.91000000027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0.75612166124429414</v>
      </c>
      <c r="M179" s="293"/>
      <c r="N179" s="225">
        <f>L179-F179</f>
        <v>8.1121661244294097E-2</v>
      </c>
      <c r="O179" s="224"/>
      <c r="P179" s="226"/>
      <c r="Q179" s="227">
        <f>Q178/P178</f>
        <v>0.62036259965867513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2" cm="1">
        <f t="array" ref="D181">+SUMPRODUCT(('Budget original'!$A$8:$A$501=$A181)*('Budget original'!$C$3:$AO$3=D$2),'Budget original'!$C$8:$AO$501)</f>
        <v>665.82478362879669</v>
      </c>
      <c r="E181" s="195" cm="1">
        <f t="array" ref="E181">+SUMPRODUCT(('Budget original'!$A$8:$A$501=$A181)*('Budget original'!$C$3:$AO$3=E$2),'Budget original'!$C$8:$AO$501)</f>
        <v>133164.95672575932</v>
      </c>
      <c r="F181" s="195" cm="1">
        <f t="array" ref="F181">+SUMPRODUCT(('Budget original'!$A$8:$A$501=$A181)*('Budget original'!$C$3:$AO$3=F$2),'Budget original'!$C$8:$AO$501)</f>
        <v>53265.982690303739</v>
      </c>
      <c r="G181" s="273"/>
      <c r="H181" s="195"/>
      <c r="I181" s="195"/>
      <c r="J181" s="314">
        <f>-SUMIFS(BV_Data_An_Cour!$P:$P,BV_Data_An_Cour!$U:$U,$B181,BV_Data_An_Cour!$V:$V,$C181,BV_Data_An_Cour!$W:$W,J$2)</f>
        <v>519</v>
      </c>
      <c r="K181" s="186">
        <f>-SUMIFS(BV_Data_An_Cour!$P:$P,BV_Data_An_Cour!$X:$X,"Oui",BV_Data_An_Cour!$U:$U,$B181,BV_Data_An_Cour!$V:$V,$C181)</f>
        <v>110276.9</v>
      </c>
      <c r="L181" s="181">
        <f>-SUMIFS(BV_Data_An_Cour!$P:$P,BV_Data_An_Cour!$U:$U,$B181,BV_Data_An_Cour!$V:$V,$C181,BV_Data_An_Cour!$W:$W,$L$2)</f>
        <v>79035.209999999992</v>
      </c>
      <c r="M181" s="315">
        <f>IF(E181=0,0,(K181-E181)/E181)</f>
        <v>-0.17187747654133301</v>
      </c>
      <c r="N181" s="274">
        <f>L181-F181</f>
        <v>25769.227309696253</v>
      </c>
      <c r="O181" s="314" cm="1">
        <f t="array" ref="O181">+SUMPRODUCT(('Réel 2024'!$A$8:$A$501=$A181)*('Réel 2024'!$C$3:$AO$3=O$2),'Réel 2024'!$C$8:$AO$501)</f>
        <v>642</v>
      </c>
      <c r="P181" s="186" cm="1">
        <f t="array" ref="P181">+SUMPRODUCT(('Réel 2024'!$A$8:$A$501=$A181)*('Réel 2024'!$C$3:$AO$3=P$2),'Réel 2024'!$C$8:$AO$501)</f>
        <v>122458.62999999998</v>
      </c>
      <c r="Q181" s="181" cm="1">
        <f t="array" ref="Q181">+SUMPRODUCT(('Réel 2024'!$A$8:$A$501=$A181)*('Réel 2024'!$C$3:$AO$3=Q$2),'Réel 2024'!$C$8:$AO$501)</f>
        <v>45390.909999999989</v>
      </c>
      <c r="R181" s="293">
        <f>IF(O181=0,0,J181/O181)</f>
        <v>0.80841121495327106</v>
      </c>
      <c r="S181" s="199">
        <f>L181-Q181</f>
        <v>33644.300000000003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152.28364161849709</v>
      </c>
      <c r="L182" s="227">
        <f>IF(L181=0,0,L181/K181)</f>
        <v>0.71669778530227091</v>
      </c>
      <c r="M182" s="224">
        <f>J182-D182</f>
        <v>0</v>
      </c>
      <c r="N182" s="230"/>
      <c r="O182" s="228"/>
      <c r="P182" s="229"/>
      <c r="Q182" s="227">
        <f>IFERROR(Q181/P181,0)</f>
        <v>0.37066321908059885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-31505.173263194119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-26451.7</v>
      </c>
      <c r="M184" s="228"/>
      <c r="N184" s="225">
        <f>L184-F184</f>
        <v>5053.4732631941188</v>
      </c>
      <c r="O184" s="224"/>
      <c r="P184" s="195"/>
      <c r="Q184" s="195" cm="1">
        <f t="array" ref="Q184">+SUMPRODUCT(('Réel 2024'!$A$8:$A$501=$A184)*('Réel 2024'!$C$3:$AO$3=Q$2),'Réel 2024'!$C$8:$AO$501)</f>
        <v>-28364.28</v>
      </c>
      <c r="R184" s="207"/>
      <c r="S184" s="197">
        <f>L184-Q184</f>
        <v>1912.5799999999981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6705.0682230942739</v>
      </c>
      <c r="E185" s="58">
        <f>E172+E175+E178+E181+E184</f>
        <v>1633945.1347256522</v>
      </c>
      <c r="F185" s="59">
        <f t="shared" ref="F185" si="40">F172+F175+F178+F181+F184</f>
        <v>1108138.5413626679</v>
      </c>
      <c r="G185" s="60"/>
      <c r="H185" s="58"/>
      <c r="I185" s="59"/>
      <c r="J185" s="60">
        <f>J172+J175+J178+J181+J184</f>
        <v>6436</v>
      </c>
      <c r="K185" s="58">
        <f>K172+K175+K178+K181+K184</f>
        <v>1876422.5499999998</v>
      </c>
      <c r="L185" s="59">
        <f>L172+L175+L178+L181+L184</f>
        <v>1376728.89</v>
      </c>
      <c r="M185" s="61">
        <f>(K185-E185)/E185</f>
        <v>0.14839997385534054</v>
      </c>
      <c r="N185" s="59">
        <f>L185-F185</f>
        <v>268590.34863733198</v>
      </c>
      <c r="O185" s="60">
        <f t="shared" ref="O185" si="41">O172+O175+O178+O181+O184</f>
        <v>6495</v>
      </c>
      <c r="P185" s="58">
        <f>P172+P175+P178+P181+P184</f>
        <v>1538804.2799999993</v>
      </c>
      <c r="Q185" s="59">
        <f t="shared" ref="Q185" si="42">Q172+Q175+Q178+Q181+Q184</f>
        <v>1028166.379999999</v>
      </c>
      <c r="R185" s="334">
        <f>IF(O185=0,0,J185/O185)</f>
        <v>0.99091608929946118</v>
      </c>
      <c r="S185" s="335">
        <f>L185-Q185</f>
        <v>348562.51000000094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243.68807003303161</v>
      </c>
      <c r="F186" s="63">
        <f>F185/E185</f>
        <v>0.67819813395921036</v>
      </c>
      <c r="G186" s="64"/>
      <c r="H186" s="62"/>
      <c r="I186" s="234"/>
      <c r="J186" s="64"/>
      <c r="K186" s="65">
        <f>IF(J185=0,0,K185/J185)</f>
        <v>291.55104878806708</v>
      </c>
      <c r="L186" s="234">
        <f>IF(L185=0,0,L185/K185)</f>
        <v>0.73369875564541687</v>
      </c>
      <c r="M186" s="64"/>
      <c r="N186" s="63">
        <f>N185/F185</f>
        <v>0.24237975542936072</v>
      </c>
      <c r="O186" s="64"/>
      <c r="P186" s="65">
        <f>IF(O185=0,0,P185/O185)</f>
        <v>236.92136720554262</v>
      </c>
      <c r="Q186" s="234">
        <f>Q185/P185</f>
        <v>0.66815929313635614</v>
      </c>
      <c r="R186" s="64"/>
      <c r="S186" s="262">
        <f>IF(R185=0,0,S185/R185)</f>
        <v>351757.84686917433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81743.884539426246</v>
      </c>
      <c r="F188" s="195" cm="1">
        <f t="array" ref="F188">+SUMPRODUCT(('Budget original'!$A$8:$A$501=$A188)*('Budget original'!$C$3:$AO$3=F$2),'Budget original'!$C$8:$AO$501)</f>
        <v>9400.5467220340215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78471.31</v>
      </c>
      <c r="L188" s="180">
        <f>-SUMIFS(BV_Data_An_Cour!$P:$P,BV_Data_An_Cour!$U:$U,$B188,BV_Data_An_Cour!$V:$V,$C188,BV_Data_An_Cour!$W:$W,$L$2)</f>
        <v>11643.54</v>
      </c>
      <c r="M188" s="447">
        <f>IF(E188=0,0,(K188-E188)/E188)</f>
        <v>-4.0034487691220977E-2</v>
      </c>
      <c r="N188" s="225">
        <f>L188-F188</f>
        <v>2242.9932779659794</v>
      </c>
      <c r="O188" s="224"/>
      <c r="P188" s="179" cm="1">
        <f t="array" ref="P188">+SUMPRODUCT(('Réel 2024'!$A$8:$A$501=$A188)*('Réel 2024'!$C$3:$AO$3=P$2),'Réel 2024'!$C$8:$AO$501)</f>
        <v>38818.969999999899</v>
      </c>
      <c r="Q188" s="180" cm="1">
        <f t="array" ref="Q188">+SUMPRODUCT(('Réel 2024'!$A$8:$A$501=$A188)*('Réel 2024'!$C$3:$AO$3=Q$2),'Réel 2024'!$C$8:$AO$501)</f>
        <v>2557.0799999999981</v>
      </c>
      <c r="R188" s="293">
        <f>IF(O188=0,0,J188/O188)</f>
        <v>0</v>
      </c>
      <c r="S188" s="197">
        <f>L188-Q188</f>
        <v>9086.4600000000028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0.14837957974704388</v>
      </c>
      <c r="M189" s="228"/>
      <c r="N189" s="230"/>
      <c r="O189" s="228"/>
      <c r="P189" s="229"/>
      <c r="Q189" s="227">
        <f>IFERROR(Q188/P188,0)</f>
        <v>6.5871917776283206E-2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1715689.0192650785</v>
      </c>
      <c r="F194" s="28">
        <f t="shared" si="43"/>
        <v>1117539.0880847019</v>
      </c>
      <c r="G194" s="29"/>
      <c r="H194" s="26"/>
      <c r="I194" s="28"/>
      <c r="J194" s="29"/>
      <c r="K194" s="26">
        <f>K185+K188+K191</f>
        <v>1954893.8599999999</v>
      </c>
      <c r="L194" s="28">
        <f>L185+L188+L191</f>
        <v>1388372.43</v>
      </c>
      <c r="M194" s="70">
        <f>L195-F195</f>
        <v>5.8838886027331228E-2</v>
      </c>
      <c r="N194" s="28">
        <f>L194-F194</f>
        <v>270833.34191529802</v>
      </c>
      <c r="O194" s="29"/>
      <c r="P194" s="26">
        <f t="shared" ref="P194:Q194" si="44">P185+P188+P191</f>
        <v>1577623.2499999993</v>
      </c>
      <c r="Q194" s="28">
        <f t="shared" si="44"/>
        <v>1030723.4599999989</v>
      </c>
      <c r="R194" s="70">
        <f>L195-Q195</f>
        <v>5.6864063337098369E-2</v>
      </c>
      <c r="S194" s="321">
        <f>L194-Q194</f>
        <v>357648.97000000102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0.65136459785900114</v>
      </c>
      <c r="G195" s="31"/>
      <c r="H195" s="323"/>
      <c r="I195" s="34"/>
      <c r="J195" s="31"/>
      <c r="K195" s="323"/>
      <c r="L195" s="34">
        <f>L194/K194</f>
        <v>0.71020348388633237</v>
      </c>
      <c r="M195" s="33"/>
      <c r="N195" s="34">
        <f>N194/F194</f>
        <v>0.24234798120526294</v>
      </c>
      <c r="O195" s="31"/>
      <c r="P195" s="323"/>
      <c r="Q195" s="34">
        <f>Q194/P194</f>
        <v>0.653339420549234</v>
      </c>
      <c r="R195" s="33"/>
      <c r="S195" s="259">
        <f>L194/S194</f>
        <v>3.8819416423874951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113644.35562923667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135469.89000000001</v>
      </c>
      <c r="M198" s="223"/>
      <c r="N198" s="225">
        <f t="shared" ref="N198:N229" si="45">L198-F198</f>
        <v>21825.534370763344</v>
      </c>
      <c r="O198" s="223"/>
      <c r="P198" s="178"/>
      <c r="Q198" s="180" cm="1">
        <f t="array" ref="Q198">+SUMPRODUCT(('Réel 2024'!$A$8:$A$501=$A198)*('Réel 2024'!$C$3:$AO$3=Q$2),'Réel 2024'!$C$8:$AO$501)</f>
        <v>96344.45</v>
      </c>
      <c r="R198" s="223"/>
      <c r="S198" s="197">
        <f>L198-Q198</f>
        <v>39125.440000000017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61404.648467432955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54920.63</v>
      </c>
      <c r="M199" s="223"/>
      <c r="N199" s="225">
        <f t="shared" si="45"/>
        <v>-6484.0184674329576</v>
      </c>
      <c r="O199" s="223"/>
      <c r="P199" s="178"/>
      <c r="Q199" s="180" cm="1">
        <f t="array" ref="Q199">+SUMPRODUCT(('Réel 2024'!$A$8:$A$501=$A199)*('Réel 2024'!$C$3:$AO$3=Q$2),'Réel 2024'!$C$8:$AO$501)</f>
        <v>52757.16</v>
      </c>
      <c r="R199" s="223"/>
      <c r="S199" s="197">
        <f t="shared" ref="S199:S229" si="46">L199-Q199</f>
        <v>2163.4699999999939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64554.237547892721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85678.55</v>
      </c>
      <c r="M200" s="273"/>
      <c r="N200" s="274">
        <f t="shared" si="45"/>
        <v>21124.312452107282</v>
      </c>
      <c r="O200" s="273"/>
      <c r="P200" s="271"/>
      <c r="Q200" s="181" cm="1">
        <f t="array" ref="Q200">+SUMPRODUCT(('Réel 2024'!$A$8:$A$501=$A200)*('Réel 2024'!$C$3:$AO$3=Q$2),'Réel 2024'!$C$8:$AO$501)</f>
        <v>63073.749999999993</v>
      </c>
      <c r="R200" s="273"/>
      <c r="S200" s="199">
        <f t="shared" si="46"/>
        <v>22604.80000000001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157463.18655555556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162412.04</v>
      </c>
      <c r="M201" s="223"/>
      <c r="N201" s="225">
        <f t="shared" si="45"/>
        <v>4948.8534444444522</v>
      </c>
      <c r="O201" s="223"/>
      <c r="P201" s="178"/>
      <c r="Q201" s="180" cm="1">
        <f t="array" ref="Q201">+SUMPRODUCT(('Réel 2024'!$A$8:$A$501=$A201)*('Réel 2024'!$C$3:$AO$3=Q$2),'Réel 2024'!$C$8:$AO$501)</f>
        <v>128732.62999999999</v>
      </c>
      <c r="R201" s="223"/>
      <c r="S201" s="197">
        <f t="shared" si="46"/>
        <v>33679.410000000018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105347.39706593216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104320</v>
      </c>
      <c r="M205" s="223"/>
      <c r="N205" s="225">
        <f t="shared" si="45"/>
        <v>-1027.397065932164</v>
      </c>
      <c r="O205" s="223"/>
      <c r="P205" s="178"/>
      <c r="Q205" s="180" cm="1">
        <f t="array" ref="Q205">+SUMPRODUCT(('Réel 2024'!$A$8:$A$501=$A205)*('Réel 2024'!$C$3:$AO$3=Q$2),'Réel 2024'!$C$8:$AO$501)</f>
        <v>78253.579999999987</v>
      </c>
      <c r="R205" s="223"/>
      <c r="S205" s="197">
        <f>L205-Q205</f>
        <v>26066.420000000013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129900.22360082486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143513.26999999999</v>
      </c>
      <c r="M206" s="273"/>
      <c r="N206" s="274">
        <f t="shared" si="45"/>
        <v>13613.046399175131</v>
      </c>
      <c r="O206" s="273"/>
      <c r="P206" s="271"/>
      <c r="Q206" s="181" cm="1">
        <f t="array" ref="Q206">+SUMPRODUCT(('Réel 2024'!$A$8:$A$501=$A206)*('Réel 2024'!$C$3:$AO$3=Q$2),'Réel 2024'!$C$8:$AO$501)</f>
        <v>109296.95000000001</v>
      </c>
      <c r="R206" s="273"/>
      <c r="S206" s="199">
        <f t="shared" si="46"/>
        <v>34216.319999999978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67083.276294178082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65358.38</v>
      </c>
      <c r="M207" s="223"/>
      <c r="N207" s="225">
        <f t="shared" si="45"/>
        <v>-1724.8962941780846</v>
      </c>
      <c r="O207" s="223"/>
      <c r="P207" s="178"/>
      <c r="Q207" s="180" cm="1">
        <f t="array" ref="Q207">+SUMPRODUCT(('Réel 2024'!$A$8:$A$501=$A207)*('Réel 2024'!$C$3:$AO$3=Q$2),'Réel 2024'!$C$8:$AO$501)</f>
        <v>47227.380000000005</v>
      </c>
      <c r="R207" s="223"/>
      <c r="S207" s="197">
        <f t="shared" si="46"/>
        <v>18130.999999999993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14374.987777323873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23792.1</v>
      </c>
      <c r="M208" s="746"/>
      <c r="N208" s="194">
        <f t="shared" si="45"/>
        <v>9417.1122226761254</v>
      </c>
      <c r="O208" s="746"/>
      <c r="P208" s="747"/>
      <c r="Q208" s="177" cm="1">
        <f t="array" ref="Q208">+SUMPRODUCT(('Réel 2024'!$A$8:$A$501=$A208)*('Réel 2024'!$C$3:$AO$3=Q$2),'Réel 2024'!$C$8:$AO$501)</f>
        <v>13328.65</v>
      </c>
      <c r="R208" s="746"/>
      <c r="S208" s="748">
        <f t="shared" si="46"/>
        <v>10463.449999999999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0.63870008713670856</v>
      </c>
      <c r="F210" s="41">
        <f>+SUM(F198:F209)</f>
        <v>713772.31293837691</v>
      </c>
      <c r="G210" s="42"/>
      <c r="H210" s="40"/>
      <c r="I210" s="41"/>
      <c r="J210" s="42" t="s">
        <v>162</v>
      </c>
      <c r="K210" s="40">
        <f>L210/L$194</f>
        <v>0.55854239341240741</v>
      </c>
      <c r="L210" s="41">
        <f>+SUM(L198:L209)</f>
        <v>775464.86</v>
      </c>
      <c r="M210" s="43"/>
      <c r="N210" s="46">
        <f t="shared" si="45"/>
        <v>61692.547061623074</v>
      </c>
      <c r="O210" s="42" t="s">
        <v>162</v>
      </c>
      <c r="P210" s="40">
        <f>Q210/Q$194</f>
        <v>0.57145740138678969</v>
      </c>
      <c r="Q210" s="41">
        <f>+SUM(Q198:Q209)</f>
        <v>589014.55000000005</v>
      </c>
      <c r="R210" s="43"/>
      <c r="S210" s="281">
        <f t="shared" si="46"/>
        <v>186450.30999999994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61498.552319947819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80399.3</v>
      </c>
      <c r="M211" s="223"/>
      <c r="N211" s="225">
        <f t="shared" si="45"/>
        <v>18900.747680052184</v>
      </c>
      <c r="O211" s="223"/>
      <c r="P211" s="178"/>
      <c r="Q211" s="180" cm="1">
        <f t="array" ref="Q211">+SUMPRODUCT(('Réel 2024'!$A$8:$A$501=$A211)*('Réel 2024'!$C$3:$AO$3=Q$2),'Réel 2024'!$C$8:$AO$501)</f>
        <v>69860.52</v>
      </c>
      <c r="R211" s="223"/>
      <c r="S211" s="197">
        <f t="shared" si="46"/>
        <v>10538.779999999999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30341.666666666661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36962.25</v>
      </c>
      <c r="M212" s="223"/>
      <c r="N212" s="225">
        <f t="shared" si="45"/>
        <v>6620.5833333333394</v>
      </c>
      <c r="O212" s="223"/>
      <c r="P212" s="178"/>
      <c r="Q212" s="180" cm="1">
        <f t="array" ref="Q212">+SUMPRODUCT(('Réel 2024'!$A$8:$A$501=$A212)*('Réel 2024'!$C$3:$AO$3=Q$2),'Réel 2024'!$C$8:$AO$501)</f>
        <v>33138.75999999998</v>
      </c>
      <c r="R212" s="223"/>
      <c r="S212" s="197">
        <f t="shared" si="46"/>
        <v>3823.4900000000198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63421.166666666686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66527.62</v>
      </c>
      <c r="M213" s="278"/>
      <c r="N213" s="279">
        <f t="shared" si="45"/>
        <v>3106.4533333333093</v>
      </c>
      <c r="O213" s="278"/>
      <c r="P213" s="276"/>
      <c r="Q213" s="180" cm="1">
        <f t="array" ref="Q213">+SUMPRODUCT(('Réel 2024'!$A$8:$A$501=$A213)*('Réel 2024'!$C$3:$AO$3=Q$2),'Réel 2024'!$C$8:$AO$501)</f>
        <v>51929.62999999999</v>
      </c>
      <c r="R213" s="278"/>
      <c r="S213" s="200">
        <f t="shared" si="46"/>
        <v>14597.990000000005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66368.5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69266.17</v>
      </c>
      <c r="M214" s="223"/>
      <c r="N214" s="225">
        <f t="shared" si="45"/>
        <v>2897.6699999999983</v>
      </c>
      <c r="O214" s="223"/>
      <c r="P214" s="178"/>
      <c r="Q214" s="181" cm="1">
        <f t="array" ref="Q214">+SUMPRODUCT(('Réel 2024'!$A$8:$A$501=$A214)*('Réel 2024'!$C$3:$AO$3=Q$2),'Réel 2024'!$C$8:$AO$501)</f>
        <v>62315.21</v>
      </c>
      <c r="R214" s="223"/>
      <c r="S214" s="197">
        <f t="shared" si="46"/>
        <v>6950.9599999999991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5041.6666666666661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10718.37</v>
      </c>
      <c r="M215" s="223"/>
      <c r="N215" s="225">
        <f t="shared" si="45"/>
        <v>5676.7033333333347</v>
      </c>
      <c r="O215" s="223"/>
      <c r="P215" s="178"/>
      <c r="Q215" s="180" cm="1">
        <f t="array" ref="Q215">+SUMPRODUCT(('Réel 2024'!$A$8:$A$501=$A215)*('Réel 2024'!$C$3:$AO$3=Q$2),'Réel 2024'!$C$8:$AO$501)</f>
        <v>7255.3399999999983</v>
      </c>
      <c r="R215" s="223"/>
      <c r="S215" s="197">
        <f t="shared" si="46"/>
        <v>3463.0300000000025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62056.5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27143.31</v>
      </c>
      <c r="M216" s="278"/>
      <c r="N216" s="279">
        <f t="shared" si="45"/>
        <v>-34913.19</v>
      </c>
      <c r="O216" s="278"/>
      <c r="P216" s="276"/>
      <c r="Q216" s="177" cm="1">
        <f t="array" ref="Q216">+SUMPRODUCT(('Réel 2024'!$A$8:$A$501=$A216)*('Réel 2024'!$C$3:$AO$3=Q$2),'Réel 2024'!$C$8:$AO$501)</f>
        <v>65614.94</v>
      </c>
      <c r="R216" s="278"/>
      <c r="S216" s="200">
        <f t="shared" si="46"/>
        <v>-38471.630000000005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12100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33339.870000000003</v>
      </c>
      <c r="M218" s="223"/>
      <c r="N218" s="225">
        <f t="shared" si="45"/>
        <v>21239.870000000003</v>
      </c>
      <c r="O218" s="223"/>
      <c r="P218" s="178"/>
      <c r="Q218" s="180" cm="1">
        <f t="array" ref="Q218">+SUMPRODUCT(('Réel 2024'!$A$8:$A$501=$A218)*('Réel 2024'!$C$3:$AO$3=Q$2),'Réel 2024'!$C$8:$AO$501)</f>
        <v>11479.579999999998</v>
      </c>
      <c r="R218" s="223"/>
      <c r="S218" s="197">
        <f t="shared" si="46"/>
        <v>21860.290000000005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11000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14312.74</v>
      </c>
      <c r="M219" s="223"/>
      <c r="N219" s="225">
        <f t="shared" si="45"/>
        <v>3312.74</v>
      </c>
      <c r="O219" s="223"/>
      <c r="P219" s="178"/>
      <c r="Q219" s="180" cm="1">
        <f t="array" ref="Q219">+SUMPRODUCT(('Réel 2024'!$A$8:$A$501=$A219)*('Réel 2024'!$C$3:$AO$3=Q$2),'Réel 2024'!$C$8:$AO$501)</f>
        <v>12301.130000000001</v>
      </c>
      <c r="R219" s="223"/>
      <c r="S219" s="197">
        <f t="shared" si="46"/>
        <v>2011.6099999999988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4331.25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5859.65</v>
      </c>
      <c r="M220" s="223"/>
      <c r="N220" s="225">
        <f t="shared" si="45"/>
        <v>1528.3999999999996</v>
      </c>
      <c r="O220" s="223"/>
      <c r="P220" s="178"/>
      <c r="Q220" s="473" cm="1">
        <f t="array" ref="Q220">+SUMPRODUCT(('Réel 2024'!$A$8:$A$501=$A220)*('Réel 2024'!$C$3:$AO$3=Q$2),'Réel 2024'!$C$8:$AO$501)</f>
        <v>3875.2999999999997</v>
      </c>
      <c r="R220" s="223"/>
      <c r="S220" s="197">
        <f t="shared" si="46"/>
        <v>1984.35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1320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1730.87</v>
      </c>
      <c r="M221" s="223"/>
      <c r="N221" s="225">
        <f t="shared" si="45"/>
        <v>410.86999999999989</v>
      </c>
      <c r="O221" s="223"/>
      <c r="P221" s="178"/>
      <c r="Q221" s="180" cm="1">
        <f t="array" ref="Q221">+SUMPRODUCT(('Réel 2024'!$A$8:$A$501=$A221)*('Réel 2024'!$C$3:$AO$3=Q$2),'Réel 2024'!$C$8:$AO$501)</f>
        <v>1271.47</v>
      </c>
      <c r="R221" s="223"/>
      <c r="S221" s="197">
        <f t="shared" si="46"/>
        <v>459.39999999999986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1237.5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1575.97</v>
      </c>
      <c r="M222" s="223"/>
      <c r="N222" s="225">
        <f t="shared" si="45"/>
        <v>338.47</v>
      </c>
      <c r="O222" s="223"/>
      <c r="P222" s="178"/>
      <c r="Q222" s="180" cm="1">
        <f t="array" ref="Q222">+SUMPRODUCT(('Réel 2024'!$A$8:$A$501=$A222)*('Réel 2024'!$C$3:$AO$3=Q$2),'Réel 2024'!$C$8:$AO$501)</f>
        <v>1344.49</v>
      </c>
      <c r="R222" s="223"/>
      <c r="S222" s="197">
        <f t="shared" si="46"/>
        <v>231.48000000000002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4787.75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9239.48</v>
      </c>
      <c r="M223" s="223"/>
      <c r="N223" s="225">
        <f t="shared" si="45"/>
        <v>4451.7299999999996</v>
      </c>
      <c r="O223" s="223"/>
      <c r="P223" s="178"/>
      <c r="Q223" s="180" cm="1">
        <f t="array" ref="Q223">+SUMPRODUCT(('Réel 2024'!$A$8:$A$501=$A223)*('Réel 2024'!$C$3:$AO$3=Q$2),'Réel 2024'!$C$8:$AO$501)</f>
        <v>4890.3499999999995</v>
      </c>
      <c r="R223" s="223"/>
      <c r="S223" s="197">
        <f t="shared" si="46"/>
        <v>4349.13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18080.868116666668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16573.689999999999</v>
      </c>
      <c r="M224" s="223"/>
      <c r="N224" s="225">
        <f t="shared" si="45"/>
        <v>-1507.1781166666697</v>
      </c>
      <c r="O224" s="223"/>
      <c r="P224" s="178"/>
      <c r="Q224" s="180" cm="1">
        <f t="array" ref="Q224">+SUMPRODUCT(('Réel 2024'!$A$8:$A$501=$A224)*('Réel 2024'!$C$3:$AO$3=Q$2),'Réel 2024'!$C$8:$AO$501)</f>
        <v>12492.360000000002</v>
      </c>
      <c r="R224" s="223"/>
      <c r="S224" s="197">
        <f t="shared" si="46"/>
        <v>4081.3299999999963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18441.273070439169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18125.21</v>
      </c>
      <c r="M225" s="223"/>
      <c r="N225" s="225">
        <f t="shared" si="45"/>
        <v>-316.06307043916968</v>
      </c>
      <c r="O225" s="223"/>
      <c r="P225" s="178"/>
      <c r="Q225" s="180" cm="1">
        <f t="array" ref="Q225">+SUMPRODUCT(('Réel 2024'!$A$8:$A$501=$A225)*('Réel 2024'!$C$3:$AO$3=Q$2),'Réel 2024'!$C$8:$AO$501)</f>
        <v>16663.340000000004</v>
      </c>
      <c r="R225" s="223"/>
      <c r="S225" s="197">
        <f t="shared" si="46"/>
        <v>1461.8699999999953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0.32216026924309793</v>
      </c>
      <c r="F229" s="41">
        <f>+SUM(F211:F228)</f>
        <v>360026.69350705371</v>
      </c>
      <c r="G229" s="42"/>
      <c r="H229" s="40"/>
      <c r="I229" s="41"/>
      <c r="J229" s="42" t="s">
        <v>162</v>
      </c>
      <c r="K229" s="40">
        <f>L229/L$194</f>
        <v>0.28218256970141647</v>
      </c>
      <c r="L229" s="41">
        <f>+SUM(L211:L228)</f>
        <v>391774.49999999994</v>
      </c>
      <c r="M229" s="44"/>
      <c r="N229" s="41">
        <f t="shared" si="45"/>
        <v>31747.806492946227</v>
      </c>
      <c r="O229" s="42" t="s">
        <v>162</v>
      </c>
      <c r="P229" s="40">
        <f>Q229/Q$194</f>
        <v>0.34386761702309587</v>
      </c>
      <c r="Q229" s="41">
        <f>+SUM(Q211:Q228)</f>
        <v>354432.41999999993</v>
      </c>
      <c r="R229" s="44"/>
      <c r="S229" s="285">
        <f t="shared" si="46"/>
        <v>37342.080000000016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0.96086035637980649</v>
      </c>
      <c r="F231" s="41">
        <f>F210+F229</f>
        <v>1073799.0064454307</v>
      </c>
      <c r="G231" s="42"/>
      <c r="H231" s="40"/>
      <c r="I231" s="41"/>
      <c r="J231" s="42" t="s">
        <v>108</v>
      </c>
      <c r="K231" s="40">
        <f>L231/L$194</f>
        <v>0.84072496311382383</v>
      </c>
      <c r="L231" s="41">
        <f>L210+L229</f>
        <v>1167239.3599999999</v>
      </c>
      <c r="M231" s="44"/>
      <c r="N231" s="46">
        <f>L231-F231</f>
        <v>93440.353554569185</v>
      </c>
      <c r="O231" s="42" t="s">
        <v>108</v>
      </c>
      <c r="P231" s="40">
        <f>Q231/Q$194</f>
        <v>0.91532501840988556</v>
      </c>
      <c r="Q231" s="41">
        <f>Q210+Q229</f>
        <v>943446.97</v>
      </c>
      <c r="R231" s="44"/>
      <c r="S231" s="281">
        <f>L231-Q231</f>
        <v>223792.3899999999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43740.08163927123</v>
      </c>
      <c r="G233" s="307"/>
      <c r="H233" s="305"/>
      <c r="I233" s="306"/>
      <c r="J233" s="308"/>
      <c r="K233" s="309"/>
      <c r="L233" s="306">
        <f>L194-L231</f>
        <v>221133.07000000007</v>
      </c>
      <c r="M233" s="308"/>
      <c r="N233" s="306">
        <f>L233-F233</f>
        <v>177392.98836072884</v>
      </c>
      <c r="O233" s="308"/>
      <c r="P233" s="309"/>
      <c r="Q233" s="306">
        <f>Q194-Q231</f>
        <v>87276.489999998943</v>
      </c>
      <c r="R233" s="308"/>
      <c r="S233" s="310">
        <f>L233-Q233</f>
        <v>133856.58000000112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300" t="s">
        <v>77</v>
      </c>
      <c r="E238" s="1301"/>
      <c r="F238" s="1302"/>
      <c r="G238" s="1303"/>
      <c r="H238" s="1301"/>
      <c r="I238" s="1302"/>
      <c r="J238" s="1303" t="s">
        <v>78</v>
      </c>
      <c r="K238" s="1301"/>
      <c r="L238" s="1302"/>
      <c r="M238" s="1303" t="s">
        <v>2442</v>
      </c>
      <c r="N238" s="1302"/>
      <c r="O238" s="1300" t="s">
        <v>79</v>
      </c>
      <c r="P238" s="1301"/>
      <c r="Q238" s="1302"/>
      <c r="R238" s="1304" t="s">
        <v>2446</v>
      </c>
      <c r="S238" s="1305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90</v>
      </c>
      <c r="P241" s="179" cm="1">
        <f t="array" ref="P241">+SUMPRODUCT(('Réel 2024'!$A$8:$A$501=$A241)*('Réel 2024'!$C$3:$AO$3=P$2),'Réel 2024'!$C$8:$AO$501)</f>
        <v>28483.079999999998</v>
      </c>
      <c r="Q241" s="180" cm="1">
        <f t="array" ref="Q241">+SUMPRODUCT(('Réel 2024'!$A$8:$A$501=$A241)*('Réel 2024'!$C$3:$AO$3=Q$2),'Réel 2024'!$C$8:$AO$501)</f>
        <v>4378.5499999999947</v>
      </c>
      <c r="R241" s="293">
        <f>IF(O241=0,0,J241/O241)</f>
        <v>2.2222222222222223E-2</v>
      </c>
      <c r="S241" s="197">
        <f>L241-Q241</f>
        <v>-4378.5499999999947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0.15372459719945999</v>
      </c>
      <c r="R242" s="224"/>
      <c r="S242" s="197">
        <f>IFERROR(S241/R241,0)</f>
        <v>-197034.74999999977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28483.079999999998</v>
      </c>
      <c r="Q250" s="28">
        <f t="shared" si="49"/>
        <v>4378.5499999999947</v>
      </c>
      <c r="R250" s="70">
        <f>L251-Q251</f>
        <v>-0.15372459719945999</v>
      </c>
      <c r="S250" s="321">
        <f>L250-Q250</f>
        <v>-4378.5499999999947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0.15372459719945999</v>
      </c>
      <c r="R251" s="33"/>
      <c r="S251" s="259">
        <f>IF(R250=0,0,S250/R250)</f>
        <v>28483.079999999998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3346.97</v>
      </c>
      <c r="R254" s="223"/>
      <c r="S254" s="197">
        <f>L254-Q254</f>
        <v>-3346.97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3720.45</v>
      </c>
      <c r="R255" s="223"/>
      <c r="S255" s="197">
        <f>L255-Q255</f>
        <v>-3720.45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209</v>
      </c>
      <c r="R256" s="273"/>
      <c r="S256" s="199">
        <f t="shared" ref="S256:S285" si="51">L256-Q256</f>
        <v>-209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1147.3400000000001</v>
      </c>
      <c r="R261" s="223"/>
      <c r="S261" s="197">
        <f t="shared" si="51"/>
        <v>-1147.3400000000001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3044.3599999999997</v>
      </c>
      <c r="R262" s="273"/>
      <c r="S262" s="199">
        <f t="shared" si="51"/>
        <v>-3044.3599999999997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413.27</v>
      </c>
      <c r="R263" s="223"/>
      <c r="S263" s="197">
        <f t="shared" si="51"/>
        <v>-413.27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50.220000000000013</v>
      </c>
      <c r="R264" s="223"/>
      <c r="S264" s="197">
        <f t="shared" si="51"/>
        <v>-50.220000000000013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11931.609999999999</v>
      </c>
      <c r="R266" s="43"/>
      <c r="S266" s="281">
        <f t="shared" si="51"/>
        <v>-11931.609999999999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152.22999999999999</v>
      </c>
      <c r="R267" s="223"/>
      <c r="S267" s="197">
        <f t="shared" si="51"/>
        <v>-152.22999999999999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1678.1599999999999</v>
      </c>
      <c r="R269" s="278"/>
      <c r="S269" s="200">
        <f t="shared" si="51"/>
        <v>-1678.1599999999999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2369.7800000000002</v>
      </c>
      <c r="R270" s="223"/>
      <c r="S270" s="197">
        <f t="shared" si="51"/>
        <v>-2369.7800000000002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325.05</v>
      </c>
      <c r="R271" s="223"/>
      <c r="S271" s="197">
        <f t="shared" si="51"/>
        <v>-325.05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1863.0799999999997</v>
      </c>
      <c r="R272" s="278"/>
      <c r="S272" s="200">
        <f t="shared" si="51"/>
        <v>-1863.0799999999997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0.80999999999999994</v>
      </c>
      <c r="R274" s="223"/>
      <c r="S274" s="197">
        <f t="shared" si="51"/>
        <v>-0.80999999999999994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328.92</v>
      </c>
      <c r="R276" s="223"/>
      <c r="S276" s="197">
        <f t="shared" si="51"/>
        <v>-328.92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104.9</v>
      </c>
      <c r="R277" s="223"/>
      <c r="S277" s="197">
        <f t="shared" si="51"/>
        <v>-104.9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56.629999999999995</v>
      </c>
      <c r="R278" s="223"/>
      <c r="S278" s="197">
        <f t="shared" si="51"/>
        <v>-56.629999999999995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444.3499999999998</v>
      </c>
      <c r="R279" s="223"/>
      <c r="S279" s="197">
        <f t="shared" si="51"/>
        <v>-444.3499999999998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80.11</v>
      </c>
      <c r="R280" s="223"/>
      <c r="S280" s="197">
        <f t="shared" si="51"/>
        <v>-80.11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1851.4499999999998</v>
      </c>
      <c r="R281" s="223"/>
      <c r="S281" s="197">
        <f t="shared" si="51"/>
        <v>-1851.4499999999998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2.1701910449806467</v>
      </c>
      <c r="Q285" s="41">
        <f>+SUM(Q267:Q284)</f>
        <v>9502.2899999999991</v>
      </c>
      <c r="R285" s="44"/>
      <c r="S285" s="285">
        <f t="shared" si="51"/>
        <v>-9502.2899999999991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4.8952050336298596</v>
      </c>
      <c r="Q287" s="41">
        <f>Q266+Q285</f>
        <v>21433.899999999998</v>
      </c>
      <c r="R287" s="44"/>
      <c r="S287" s="281">
        <f>L287-Q287</f>
        <v>-21433.899999999998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-17055.350000000002</v>
      </c>
      <c r="R289" s="308"/>
      <c r="S289" s="310">
        <f>L289-Q289</f>
        <v>17055.350000000002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300" t="s">
        <v>77</v>
      </c>
      <c r="E293" s="1301"/>
      <c r="F293" s="1302"/>
      <c r="G293" s="1303"/>
      <c r="H293" s="1301"/>
      <c r="I293" s="1302"/>
      <c r="J293" s="1303" t="s">
        <v>78</v>
      </c>
      <c r="K293" s="1301"/>
      <c r="L293" s="1302"/>
      <c r="M293" s="1303" t="s">
        <v>2442</v>
      </c>
      <c r="N293" s="1302"/>
      <c r="O293" s="1300" t="s">
        <v>79</v>
      </c>
      <c r="P293" s="1301"/>
      <c r="Q293" s="1302"/>
      <c r="R293" s="1304" t="s">
        <v>2446</v>
      </c>
      <c r="S293" s="130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706112.68300259789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289506.20003106515</v>
      </c>
      <c r="G295" s="195"/>
      <c r="H295" s="208"/>
      <c r="I295" s="197"/>
      <c r="J295" s="179">
        <f>-SUMIFS(BV_Data_An_Cour!$P:$P,BV_Data_An_Cour!$X:$X,"Oui",BV_Data_An_Cour!$U:$U,$B295,BV_Data_An_Cour!$V:$V,$C295)</f>
        <v>637437.75</v>
      </c>
      <c r="K295" s="208">
        <f t="shared" ref="K295:K304" si="54">IF(J295&lt;=0,0,L295/J295)</f>
        <v>0.40026095097129089</v>
      </c>
      <c r="L295" s="180">
        <f>-SUMIFS(BV_Data_An_Cour!$P:$P,BV_Data_An_Cour!$U:$U,$B295,BV_Data_An_Cour!$V:$V,$C295,BV_Data_An_Cour!$W:$W,$L$2)</f>
        <v>255141.43999999997</v>
      </c>
      <c r="M295" s="293">
        <f t="shared" ref="M295:M301" si="55">(+J295-D295)/D295</f>
        <v>-9.7257753125991109E-2</v>
      </c>
      <c r="N295" s="225">
        <f t="shared" ref="N295:N304" si="56">L295-F295</f>
        <v>-34364.760031065176</v>
      </c>
      <c r="O295" s="179" cm="1">
        <f t="array" ref="O295">+SUMPRODUCT(('Réel 2024'!$A$8:$A$501=$A295)*('Réel 2024'!$C$3:$AO$3=O$2),'Réel 2024'!$C$8:$AO$501)</f>
        <v>658246.09999999963</v>
      </c>
      <c r="P295" s="208">
        <f t="shared" ref="P295:P303" si="57">IF(O295=0,0,Q295/O295)</f>
        <v>0.39753376434740695</v>
      </c>
      <c r="Q295" s="180" cm="1">
        <f t="array" ref="Q295">+SUMPRODUCT(('Réel 2024'!$A$8:$A$501=$A295)*('Réel 2024'!$C$3:$AO$3=Q$2),'Réel 2024'!$C$8:$AO$501)</f>
        <v>261675.04999999952</v>
      </c>
      <c r="R295" s="293">
        <f>IF(O295=0,0,(J295-O295)/O295)</f>
        <v>-3.1611809017933624E-2</v>
      </c>
      <c r="S295" s="197">
        <f t="shared" ref="S295:S304" si="58">L295-Q295</f>
        <v>-6533.6099999995495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-0.21834787664131294</v>
      </c>
      <c r="S296" s="197">
        <f t="shared" si="58"/>
        <v>-687.3799999999992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560511.15573540912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159745.67938459158</v>
      </c>
      <c r="G297" s="195"/>
      <c r="H297" s="208"/>
      <c r="I297" s="197"/>
      <c r="J297" s="179">
        <f>-SUMIFS(BV_Data_An_Cour!$P:$P,BV_Data_An_Cour!$X:$X,"Oui",BV_Data_An_Cour!$U:$U,$B297,BV_Data_An_Cour!$V:$V,$C297)</f>
        <v>751912.37000000011</v>
      </c>
      <c r="K297" s="208">
        <f t="shared" si="54"/>
        <v>0.27645347821581928</v>
      </c>
      <c r="L297" s="180">
        <f>-SUMIFS(BV_Data_An_Cour!$P:$P,BV_Data_An_Cour!$U:$U,$B297,BV_Data_An_Cour!$V:$V,$C297,BV_Data_An_Cour!$W:$W,$L$2)</f>
        <v>207868.79000000007</v>
      </c>
      <c r="M297" s="293">
        <f t="shared" si="55"/>
        <v>0.3414761906272254</v>
      </c>
      <c r="N297" s="225">
        <f t="shared" si="56"/>
        <v>48123.110615408485</v>
      </c>
      <c r="O297" s="179" cm="1">
        <f t="array" ref="O297">+SUMPRODUCT(('Réel 2024'!$A$8:$A$501=$A297)*('Réel 2024'!$C$3:$AO$3=O$2),'Réel 2024'!$C$8:$AO$501)</f>
        <v>648402.76999999955</v>
      </c>
      <c r="P297" s="208">
        <f t="shared" si="57"/>
        <v>0.28149128665813622</v>
      </c>
      <c r="Q297" s="180" cm="1">
        <f t="array" ref="Q297">+SUMPRODUCT(('Réel 2024'!$A$8:$A$501=$A297)*('Réel 2024'!$C$3:$AO$3=Q$2),'Réel 2024'!$C$8:$AO$501)</f>
        <v>182519.72999999943</v>
      </c>
      <c r="R297" s="293">
        <f t="shared" si="59"/>
        <v>0.15963781277492173</v>
      </c>
      <c r="S297" s="197">
        <f t="shared" si="58"/>
        <v>25349.060000000638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234335.28258385853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82017.348904350481</v>
      </c>
      <c r="G298" s="195"/>
      <c r="H298" s="208"/>
      <c r="I298" s="197"/>
      <c r="J298" s="179">
        <f>-SUMIFS(BV_Data_An_Cour!$P:$P,BV_Data_An_Cour!$X:$X,"Oui",BV_Data_An_Cour!$U:$U,$B298,BV_Data_An_Cour!$V:$V,$C298)</f>
        <v>235420.35</v>
      </c>
      <c r="K298" s="208">
        <f t="shared" si="54"/>
        <v>0.34245212871359676</v>
      </c>
      <c r="L298" s="180">
        <f>-SUMIFS(BV_Data_An_Cour!$P:$P,BV_Data_An_Cour!$U:$U,$B298,BV_Data_An_Cour!$V:$V,$C298,BV_Data_An_Cour!$W:$W,$L$2)</f>
        <v>80620.2</v>
      </c>
      <c r="M298" s="293">
        <f t="shared" si="55"/>
        <v>4.6304056485953204E-3</v>
      </c>
      <c r="N298" s="225">
        <f t="shared" si="56"/>
        <v>-1397.1489043504844</v>
      </c>
      <c r="O298" s="179" cm="1">
        <f t="array" ref="O298">+SUMPRODUCT(('Réel 2024'!$A$8:$A$501=$A298)*('Réel 2024'!$C$3:$AO$3=O$2),'Réel 2024'!$C$8:$AO$501)</f>
        <v>192183.88999999998</v>
      </c>
      <c r="P298" s="208">
        <f t="shared" si="57"/>
        <v>0.33071403643666486</v>
      </c>
      <c r="Q298" s="180" cm="1">
        <f t="array" ref="Q298">+SUMPRODUCT(('Réel 2024'!$A$8:$A$501=$A298)*('Réel 2024'!$C$3:$AO$3=Q$2),'Réel 2024'!$C$8:$AO$501)</f>
        <v>63557.909999999989</v>
      </c>
      <c r="R298" s="293">
        <f t="shared" si="59"/>
        <v>0.22497442423503877</v>
      </c>
      <c r="S298" s="197">
        <f t="shared" si="58"/>
        <v>17062.290000000008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279181.51717761433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83754.455153284289</v>
      </c>
      <c r="G299" s="195"/>
      <c r="H299" s="208"/>
      <c r="I299" s="197"/>
      <c r="J299" s="179">
        <f>-SUMIFS(BV_Data_An_Cour!$P:$P,BV_Data_An_Cour!$X:$X,"Oui",BV_Data_An_Cour!$U:$U,$B299,BV_Data_An_Cour!$V:$V,$C299)</f>
        <v>194796.22</v>
      </c>
      <c r="K299" s="208">
        <f t="shared" si="54"/>
        <v>0.33204597091257709</v>
      </c>
      <c r="L299" s="180">
        <f>-SUMIFS(BV_Data_An_Cour!$P:$P,BV_Data_An_Cour!$U:$U,$B299,BV_Data_An_Cour!$V:$V,$C299,BV_Data_An_Cour!$W:$W,$L$2)</f>
        <v>64681.299999999974</v>
      </c>
      <c r="M299" s="293">
        <f t="shared" si="55"/>
        <v>-0.30225961242243943</v>
      </c>
      <c r="N299" s="225">
        <f t="shared" si="56"/>
        <v>-19073.155153284315</v>
      </c>
      <c r="O299" s="179" cm="1">
        <f t="array" ref="O299">+SUMPRODUCT(('Réel 2024'!$A$8:$A$501=$A299)*('Réel 2024'!$C$3:$AO$3=O$2),'Réel 2024'!$C$8:$AO$501)</f>
        <v>295840.64999999967</v>
      </c>
      <c r="P299" s="208">
        <f t="shared" si="57"/>
        <v>0.27840325526596821</v>
      </c>
      <c r="Q299" s="180" cm="1">
        <f t="array" ref="Q299">+SUMPRODUCT(('Réel 2024'!$A$8:$A$501=$A299)*('Réel 2024'!$C$3:$AO$3=Q$2),'Réel 2024'!$C$8:$AO$501)</f>
        <v>82362.999999999869</v>
      </c>
      <c r="R299" s="293">
        <f t="shared" si="59"/>
        <v>-0.34155018926574082</v>
      </c>
      <c r="S299" s="197">
        <f t="shared" si="58"/>
        <v>-17681.699999999895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528113.69124276831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105622.73824855367</v>
      </c>
      <c r="G300" s="195"/>
      <c r="H300" s="208"/>
      <c r="I300" s="197"/>
      <c r="J300" s="179">
        <f>-SUMIFS(BV_Data_An_Cour!$P:$P,BV_Data_An_Cour!$X:$X,"Oui",BV_Data_An_Cour!$U:$U,$B300,BV_Data_An_Cour!$V:$V,$C300)</f>
        <v>599245.91</v>
      </c>
      <c r="K300" s="208">
        <f t="shared" si="54"/>
        <v>0.19248311598822607</v>
      </c>
      <c r="L300" s="180">
        <f>-SUMIFS(BV_Data_An_Cour!$P:$P,BV_Data_An_Cour!$U:$U,$B300,BV_Data_An_Cour!$V:$V,$C300,BV_Data_An_Cour!$W:$W,$L$2)</f>
        <v>115344.72000000009</v>
      </c>
      <c r="M300" s="293">
        <f t="shared" si="55"/>
        <v>0.13469110901071676</v>
      </c>
      <c r="N300" s="225">
        <f t="shared" si="56"/>
        <v>9721.981751446423</v>
      </c>
      <c r="O300" s="179" cm="1">
        <f t="array" ref="O300">+SUMPRODUCT(('Réel 2024'!$A$8:$A$501=$A300)*('Réel 2024'!$C$3:$AO$3=O$2),'Réel 2024'!$C$8:$AO$501)</f>
        <v>498337.62000000005</v>
      </c>
      <c r="P300" s="208">
        <f t="shared" si="57"/>
        <v>0.20703514215924509</v>
      </c>
      <c r="Q300" s="180" cm="1">
        <f t="array" ref="Q300">+SUMPRODUCT(('Réel 2024'!$A$8:$A$501=$A300)*('Réel 2024'!$C$3:$AO$3=Q$2),'Réel 2024'!$C$8:$AO$501)</f>
        <v>103173.39999999988</v>
      </c>
      <c r="R300" s="293">
        <f t="shared" si="59"/>
        <v>0.20248981002076458</v>
      </c>
      <c r="S300" s="197">
        <f t="shared" si="58"/>
        <v>12171.320000000211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60386.593992290967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95989.37</v>
      </c>
      <c r="M302" s="293"/>
      <c r="N302" s="225">
        <f t="shared" si="56"/>
        <v>35602.776007709028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53383.17</v>
      </c>
      <c r="R302" s="293">
        <f t="shared" si="59"/>
        <v>0</v>
      </c>
      <c r="S302" s="197">
        <f t="shared" si="58"/>
        <v>42606.2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20577.169999999998</v>
      </c>
      <c r="M303" s="293"/>
      <c r="N303" s="225">
        <f t="shared" si="56"/>
        <v>20577.169999999998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20577.169999999998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2308254.3297422482</v>
      </c>
      <c r="E304" s="295">
        <f>IF(D304&lt;=0,0,F304/D304)</f>
        <v>0.33836523369647503</v>
      </c>
      <c r="F304" s="198">
        <f t="shared" ref="F304" si="60">SUM(F295:F303)</f>
        <v>781033.01571413619</v>
      </c>
      <c r="G304" s="196"/>
      <c r="H304" s="295"/>
      <c r="I304" s="198"/>
      <c r="J304" s="196">
        <f>SUM(J295:J303)</f>
        <v>2424647.6800000002</v>
      </c>
      <c r="K304" s="295">
        <f t="shared" si="54"/>
        <v>0.34725505769151582</v>
      </c>
      <c r="L304" s="221">
        <f>SUM(L295:L303)</f>
        <v>841971.17</v>
      </c>
      <c r="M304" s="296">
        <f>(+J304-D304)/D304</f>
        <v>5.0424837834377241E-2</v>
      </c>
      <c r="N304" s="221">
        <f t="shared" si="56"/>
        <v>60938.154285863857</v>
      </c>
      <c r="O304" s="196">
        <f>SUM(O295:O303)</f>
        <v>2300476.0899999989</v>
      </c>
      <c r="P304" s="295">
        <f>IF(O304&lt;=0,0,Q304/O304)</f>
        <v>0.32563164783859982</v>
      </c>
      <c r="Q304" s="221">
        <f t="shared" ref="Q304" si="61">SUM(Q295:Q303)</f>
        <v>749107.81999999867</v>
      </c>
      <c r="R304" s="296">
        <f>IF(O304=0,0,(J304-O304)/O304)</f>
        <v>5.3976474930457242E-2</v>
      </c>
      <c r="S304" s="198">
        <f t="shared" si="58"/>
        <v>92863.350000001374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7.8022507448222478E-2</v>
      </c>
      <c r="O305" s="223"/>
      <c r="P305" s="178"/>
      <c r="Q305" s="265"/>
      <c r="R305" s="223"/>
      <c r="S305" s="262">
        <f>IF(Q304=0,0,S304/Q304)</f>
        <v>0.12396526577442689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746928.04897910939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179262.73175498622</v>
      </c>
      <c r="G307" s="195"/>
      <c r="H307" s="208"/>
      <c r="I307" s="199"/>
      <c r="J307" s="179">
        <f>-SUMIFS(BV_Data_An_Cour!$P:$P,BV_Data_An_Cour!$X:$X,"Oui",BV_Data_An_Cour!$U:$U,$B307,BV_Data_An_Cour!$V:$V,$C307)</f>
        <v>876698.86</v>
      </c>
      <c r="K307" s="208">
        <f>IF(J307&lt;=0,0,L307/J307)</f>
        <v>0.25184753861776432</v>
      </c>
      <c r="L307" s="180">
        <f>-SUMIFS(BV_Data_An_Cour!$P:$P,BV_Data_An_Cour!$U:$U,$B307,BV_Data_An_Cour!$V:$V,$C307,BV_Data_An_Cour!$W:$W,$L$2)</f>
        <v>220794.44999999995</v>
      </c>
      <c r="M307" s="293">
        <f>(+J307-D307)/D307</f>
        <v>0.17373937315416055</v>
      </c>
      <c r="N307" s="225">
        <f>L307-F307</f>
        <v>41531.718245013733</v>
      </c>
      <c r="O307" s="179" cm="1">
        <f t="array" ref="O307">+SUMPRODUCT(('Réel 2024'!$A$8:$A$501=$A307)*('Réel 2024'!$C$3:$AO$3=O$2),'Réel 2024'!$C$8:$AO$501)</f>
        <v>739544.84</v>
      </c>
      <c r="P307" s="208">
        <f t="shared" ref="P307:P308" si="63">IF(O307=0,0,Q307/O307)</f>
        <v>0.24754715346266168</v>
      </c>
      <c r="Q307" s="180" cm="1">
        <f t="array" ref="Q307">+SUMPRODUCT(('Réel 2024'!$A$8:$A$501=$A307)*('Réel 2024'!$C$3:$AO$3=Q$2),'Réel 2024'!$C$8:$AO$501)</f>
        <v>183072.21999999956</v>
      </c>
      <c r="R307" s="293">
        <f>IF(O307=0,0,(J307-O307)/O307)</f>
        <v>0.18545734157241908</v>
      </c>
      <c r="S307" s="197">
        <f>L307-Q307</f>
        <v>37722.230000000389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126427.73922636437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43491.142293869343</v>
      </c>
      <c r="G308" s="195"/>
      <c r="H308" s="208"/>
      <c r="I308" s="200"/>
      <c r="J308" s="179">
        <f>-SUMIFS(BV_Data_An_Cour!$P:$P,BV_Data_An_Cour!$X:$X,"Oui",BV_Data_An_Cour!$U:$U,$B308,BV_Data_An_Cour!$V:$V,$C308)</f>
        <v>131189.38</v>
      </c>
      <c r="K308" s="208">
        <f>IF(J308&lt;=0,0,L308/J308)</f>
        <v>0.3550259937199185</v>
      </c>
      <c r="L308" s="180">
        <f>-SUMIFS(BV_Data_An_Cour!$P:$P,BV_Data_An_Cour!$U:$U,$B308,BV_Data_An_Cour!$V:$V,$C308,BV_Data_An_Cour!$W:$W,$L$2)</f>
        <v>46575.64</v>
      </c>
      <c r="M308" s="293">
        <f>(+J308-D308)/D308</f>
        <v>3.7662943296882703E-2</v>
      </c>
      <c r="N308" s="225">
        <f>L308-F308</f>
        <v>3084.4977061306563</v>
      </c>
      <c r="O308" s="179" cm="1">
        <f t="array" ref="O308">+SUMPRODUCT(('Réel 2024'!$A$8:$A$501=$A308)*('Réel 2024'!$C$3:$AO$3=O$2),'Réel 2024'!$C$8:$AO$501)</f>
        <v>122894.34</v>
      </c>
      <c r="P308" s="208">
        <f t="shared" si="63"/>
        <v>0.34659203995887833</v>
      </c>
      <c r="Q308" s="180" cm="1">
        <f t="array" ref="Q308">+SUMPRODUCT(('Réel 2024'!$A$8:$A$501=$A308)*('Réel 2024'!$C$3:$AO$3=Q$2),'Réel 2024'!$C$8:$AO$501)</f>
        <v>42594.199999999975</v>
      </c>
      <c r="R308" s="293">
        <f>IF(O308=0,0,(J308-O308)/O308)</f>
        <v>6.7497331447485764E-2</v>
      </c>
      <c r="S308" s="197">
        <f>L308-Q308</f>
        <v>3981.4400000000242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3181610.1179477219</v>
      </c>
      <c r="E309" s="295">
        <f>IF(D309&lt;=0,0,F309/D309)</f>
        <v>0.31549651043053584</v>
      </c>
      <c r="F309" s="221">
        <f t="shared" ref="F309" si="64">F304+F307+F308</f>
        <v>1003786.8897629918</v>
      </c>
      <c r="G309" s="222"/>
      <c r="H309" s="295"/>
      <c r="I309" s="221"/>
      <c r="J309" s="222">
        <f>J304+J307+J308</f>
        <v>3432535.92</v>
      </c>
      <c r="K309" s="295">
        <f>IF(J309&lt;=0,0,L309/J309)</f>
        <v>0.32318416641653092</v>
      </c>
      <c r="L309" s="221">
        <f>L304+L307+L308</f>
        <v>1109341.26</v>
      </c>
      <c r="M309" s="296">
        <f>(+J309-D309)/D309</f>
        <v>7.8867552198424687E-2</v>
      </c>
      <c r="N309" s="221">
        <f>L309-F309</f>
        <v>105554.3702370082</v>
      </c>
      <c r="O309" s="222">
        <f>O304+O307+O308</f>
        <v>3162915.2699999986</v>
      </c>
      <c r="P309" s="295">
        <f>IF(O309&lt;=0,0,Q309/O309)</f>
        <v>0.30818854025134812</v>
      </c>
      <c r="Q309" s="221">
        <f t="shared" ref="Q309" si="65">Q304+Q307+Q308</f>
        <v>974774.23999999813</v>
      </c>
      <c r="R309" s="296">
        <f>IF(O309=0,0,(J309-O309)/O309)</f>
        <v>8.5244348009360815E-2</v>
      </c>
      <c r="S309" s="198">
        <f>L309-Q309</f>
        <v>134567.02000000188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0.10515615546834954</v>
      </c>
      <c r="O310" s="223"/>
      <c r="P310" s="178"/>
      <c r="Q310" s="265"/>
      <c r="R310" s="223"/>
      <c r="S310" s="262">
        <f>IF(Q309=0,0,S309/Q309)</f>
        <v>0.13804942157683828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3181610.1179477219</v>
      </c>
      <c r="E314" s="71">
        <f>IF(D314&lt;=0,0,F314/D314)</f>
        <v>0.31549651043053584</v>
      </c>
      <c r="F314" s="28">
        <f t="shared" ref="F314" si="66">F309+F312</f>
        <v>1003786.8897629918</v>
      </c>
      <c r="G314" s="29"/>
      <c r="H314" s="71"/>
      <c r="I314" s="28"/>
      <c r="J314" s="29">
        <f>J309+J312</f>
        <v>3432535.92</v>
      </c>
      <c r="K314" s="71">
        <f>IF(J314&lt;=0,0,L314/J314)</f>
        <v>0.32318416641653092</v>
      </c>
      <c r="L314" s="28">
        <f>L309+L312</f>
        <v>1109341.26</v>
      </c>
      <c r="M314" s="72">
        <f>(+J314-D314)/D314</f>
        <v>7.8867552198424687E-2</v>
      </c>
      <c r="N314" s="73">
        <f>L314-F314</f>
        <v>105554.3702370082</v>
      </c>
      <c r="O314" s="29">
        <f>O309+O312</f>
        <v>3162915.2699999986</v>
      </c>
      <c r="P314" s="71">
        <f>IF(O314&lt;=0,0,Q314/O314)</f>
        <v>0.30818854025134812</v>
      </c>
      <c r="Q314" s="28">
        <f t="shared" ref="Q314" si="67">Q309+Q312</f>
        <v>974774.23999999813</v>
      </c>
      <c r="R314" s="72">
        <f>IF(O314=0,0,(J314-O314)/O314)</f>
        <v>8.5244348009360815E-2</v>
      </c>
      <c r="S314" s="257">
        <f>L314-Q314</f>
        <v>134567.02000000188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0.10515615546834954</v>
      </c>
      <c r="O315" s="77"/>
      <c r="P315" s="75"/>
      <c r="Q315" s="76"/>
      <c r="R315" s="78"/>
      <c r="S315" s="259">
        <f>IF(Q314=0,0,S314/Q314)</f>
        <v>0.13804942157683828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46819.726407309165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41914.730000000003</v>
      </c>
      <c r="M318" s="223"/>
      <c r="N318" s="225">
        <f t="shared" ref="N318:N348" si="68">L318-F318</f>
        <v>-4904.9964073091614</v>
      </c>
      <c r="O318" s="223"/>
      <c r="P318" s="178"/>
      <c r="Q318" s="180" cm="1">
        <f t="array" ref="Q318">+SUMPRODUCT(('Réel 2024'!$A$8:$A$501=$A318)*('Réel 2024'!$C$3:$AO$3=Q$2),'Réel 2024'!$C$8:$AO$501)</f>
        <v>36481.379999999997</v>
      </c>
      <c r="R318" s="223"/>
      <c r="S318" s="197">
        <f>L318-Q318</f>
        <v>5433.3500000000058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30877.652107279693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30916.31</v>
      </c>
      <c r="M319" s="223"/>
      <c r="N319" s="225">
        <f t="shared" si="68"/>
        <v>38.657892720308155</v>
      </c>
      <c r="O319" s="223"/>
      <c r="P319" s="178"/>
      <c r="Q319" s="180" cm="1">
        <f t="array" ref="Q319">+SUMPRODUCT(('Réel 2024'!$A$8:$A$501=$A319)*('Réel 2024'!$C$3:$AO$3=Q$2),'Réel 2024'!$C$8:$AO$501)</f>
        <v>29765.029999999995</v>
      </c>
      <c r="R319" s="223"/>
      <c r="S319" s="197">
        <f t="shared" ref="S319:S343" si="69">L319-Q319</f>
        <v>1151.2800000000061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155263.88130268198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157209.63</v>
      </c>
      <c r="M320" s="273"/>
      <c r="N320" s="274">
        <f t="shared" si="68"/>
        <v>1945.7486973180203</v>
      </c>
      <c r="O320" s="273"/>
      <c r="P320" s="271"/>
      <c r="Q320" s="181" cm="1">
        <f t="array" ref="Q320">+SUMPRODUCT(('Réel 2024'!$A$8:$A$501=$A320)*('Réel 2024'!$C$3:$AO$3=Q$2),'Réel 2024'!$C$8:$AO$501)</f>
        <v>141248.22999999998</v>
      </c>
      <c r="R320" s="273"/>
      <c r="S320" s="199">
        <f t="shared" si="69"/>
        <v>15961.400000000023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29104.284506817068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31352.13</v>
      </c>
      <c r="M325" s="223"/>
      <c r="N325" s="225">
        <f t="shared" si="68"/>
        <v>2247.8454931829328</v>
      </c>
      <c r="O325" s="223"/>
      <c r="P325" s="178"/>
      <c r="Q325" s="180" cm="1">
        <f t="array" ref="Q325">+SUMPRODUCT(('Réel 2024'!$A$8:$A$501=$A325)*('Réel 2024'!$C$3:$AO$3=Q$2),'Réel 2024'!$C$8:$AO$501)</f>
        <v>28864.169999999995</v>
      </c>
      <c r="R325" s="223"/>
      <c r="S325" s="197">
        <f t="shared" si="69"/>
        <v>2487.9600000000064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36050.869165183198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40252.959999999999</v>
      </c>
      <c r="M326" s="273"/>
      <c r="N326" s="274">
        <f t="shared" si="68"/>
        <v>4202.0908348168014</v>
      </c>
      <c r="O326" s="273"/>
      <c r="P326" s="271"/>
      <c r="Q326" s="181" cm="1">
        <f t="array" ref="Q326">+SUMPRODUCT(('Réel 2024'!$A$8:$A$501=$A326)*('Réel 2024'!$C$3:$AO$3=Q$2),'Réel 2024'!$C$8:$AO$501)</f>
        <v>37391.020000000004</v>
      </c>
      <c r="R326" s="273"/>
      <c r="S326" s="199">
        <f t="shared" si="69"/>
        <v>2861.9399999999951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18480.952360624819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23303.06</v>
      </c>
      <c r="M327" s="223"/>
      <c r="N327" s="225">
        <f t="shared" si="68"/>
        <v>4822.1076393751828</v>
      </c>
      <c r="O327" s="223"/>
      <c r="P327" s="178"/>
      <c r="Q327" s="180" cm="1">
        <f t="array" ref="Q327">+SUMPRODUCT(('Réel 2024'!$A$8:$A$501=$A327)*('Réel 2024'!$C$3:$AO$3=Q$2),'Réel 2024'!$C$8:$AO$501)</f>
        <v>18499.149999999998</v>
      </c>
      <c r="R327" s="223"/>
      <c r="S327" s="197">
        <f t="shared" si="69"/>
        <v>4803.9100000000035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3960.2040772767464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6329.92</v>
      </c>
      <c r="M328" s="746"/>
      <c r="N328" s="194">
        <f t="shared" si="68"/>
        <v>2369.7159227232537</v>
      </c>
      <c r="O328" s="223"/>
      <c r="P328" s="178"/>
      <c r="Q328" s="180" cm="1">
        <f t="array" ref="Q328">+SUMPRODUCT(('Réel 2024'!$A$8:$A$501=$A328)*('Réel 2024'!$C$3:$AO$3=Q$2),'Réel 2024'!$C$8:$AO$501)</f>
        <v>3194.18</v>
      </c>
      <c r="R328" s="223"/>
      <c r="S328" s="197">
        <f t="shared" si="69"/>
        <v>3135.7400000000002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0.31934823337138907</v>
      </c>
      <c r="F330" s="41">
        <f>+SUM(F318:F329)</f>
        <v>320557.56992717268</v>
      </c>
      <c r="G330" s="42"/>
      <c r="H330" s="40"/>
      <c r="I330" s="41"/>
      <c r="J330" s="42" t="s">
        <v>108</v>
      </c>
      <c r="K330" s="40">
        <f>L330/L$314</f>
        <v>0.29862653805917216</v>
      </c>
      <c r="L330" s="41">
        <f>+SUM(L318:L329)</f>
        <v>331278.74</v>
      </c>
      <c r="M330" s="43"/>
      <c r="N330" s="46">
        <f t="shared" si="68"/>
        <v>10721.170072827314</v>
      </c>
      <c r="O330" s="42" t="s">
        <v>108</v>
      </c>
      <c r="P330" s="40">
        <f>Q330/Q$314</f>
        <v>0.30308880546535633</v>
      </c>
      <c r="Q330" s="41">
        <f>+SUM(Q318:Q329)</f>
        <v>295443.15999999997</v>
      </c>
      <c r="R330" s="43"/>
      <c r="S330" s="281">
        <f t="shared" si="69"/>
        <v>35835.580000000016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33114.605095356521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41030.81</v>
      </c>
      <c r="M331" s="223"/>
      <c r="N331" s="225">
        <f t="shared" si="68"/>
        <v>7916.2049046434768</v>
      </c>
      <c r="O331" s="223"/>
      <c r="P331" s="178"/>
      <c r="Q331" s="180" cm="1">
        <f t="array" ref="Q331">+SUMPRODUCT(('Réel 2024'!$A$8:$A$501=$A331)*('Réel 2024'!$C$3:$AO$3=Q$2),'Réel 2024'!$C$8:$AO$501)</f>
        <v>35302.949999999997</v>
      </c>
      <c r="R331" s="223"/>
      <c r="S331" s="197">
        <f t="shared" si="69"/>
        <v>5727.8600000000006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6325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7515.5599999999995</v>
      </c>
      <c r="M332" s="223"/>
      <c r="N332" s="225">
        <f t="shared" si="68"/>
        <v>1190.5599999999995</v>
      </c>
      <c r="O332" s="223"/>
      <c r="P332" s="178"/>
      <c r="Q332" s="180" cm="1">
        <f t="array" ref="Q332">+SUMPRODUCT(('Réel 2024'!$A$8:$A$501=$A332)*('Réel 2024'!$C$3:$AO$3=Q$2),'Réel 2024'!$C$8:$AO$501)</f>
        <v>7576.4499999999989</v>
      </c>
      <c r="R332" s="223"/>
      <c r="S332" s="197">
        <f t="shared" si="69"/>
        <v>-60.889999999999418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57493.26666666667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58018.19</v>
      </c>
      <c r="M333" s="278"/>
      <c r="N333" s="279">
        <f t="shared" si="68"/>
        <v>524.92333333333227</v>
      </c>
      <c r="O333" s="278"/>
      <c r="P333" s="276"/>
      <c r="Q333" s="180" cm="1">
        <f t="array" ref="Q333">+SUMPRODUCT(('Réel 2024'!$A$8:$A$501=$A333)*('Réel 2024'!$C$3:$AO$3=Q$2),'Réel 2024'!$C$8:$AO$501)</f>
        <v>50870.309999999983</v>
      </c>
      <c r="R333" s="278"/>
      <c r="S333" s="200">
        <f t="shared" si="69"/>
        <v>7147.8800000000192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20094.799999999996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21002.35</v>
      </c>
      <c r="M334" s="223"/>
      <c r="N334" s="225">
        <f t="shared" si="68"/>
        <v>907.55000000000291</v>
      </c>
      <c r="O334" s="223"/>
      <c r="P334" s="178"/>
      <c r="Q334" s="181" cm="1">
        <f t="array" ref="Q334">+SUMPRODUCT(('Réel 2024'!$A$8:$A$501=$A334)*('Réel 2024'!$C$3:$AO$3=Q$2),'Réel 2024'!$C$8:$AO$501)</f>
        <v>19529.530000000002</v>
      </c>
      <c r="R334" s="223"/>
      <c r="S334" s="197">
        <f t="shared" si="69"/>
        <v>1472.8199999999961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4033.3333333333326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2405.9299999999998</v>
      </c>
      <c r="M335" s="223"/>
      <c r="N335" s="225">
        <f t="shared" si="68"/>
        <v>-1627.4033333333327</v>
      </c>
      <c r="O335" s="223"/>
      <c r="P335" s="178"/>
      <c r="Q335" s="180" cm="1">
        <f t="array" ref="Q335">+SUMPRODUCT(('Réel 2024'!$A$8:$A$501=$A335)*('Réel 2024'!$C$3:$AO$3=Q$2),'Réel 2024'!$C$8:$AO$501)</f>
        <v>2761.6800000000003</v>
      </c>
      <c r="R335" s="223"/>
      <c r="S335" s="197">
        <f t="shared" si="69"/>
        <v>-355.75000000000045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22255.200000000004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22710.89</v>
      </c>
      <c r="M336" s="278"/>
      <c r="N336" s="279">
        <f t="shared" si="68"/>
        <v>455.68999999999505</v>
      </c>
      <c r="O336" s="278"/>
      <c r="P336" s="276"/>
      <c r="Q336" s="350" cm="1">
        <f t="array" ref="Q336">+SUMPRODUCT(('Réel 2024'!$A$8:$A$501=$A336)*('Réel 2024'!$C$3:$AO$3=Q$2),'Réel 2024'!$C$8:$AO$501)</f>
        <v>19361.010000000002</v>
      </c>
      <c r="R336" s="278"/>
      <c r="S336" s="200">
        <f t="shared" si="69"/>
        <v>3349.8799999999974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110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63.620000000000005</v>
      </c>
      <c r="O338" s="223"/>
      <c r="P338" s="178"/>
      <c r="Q338" s="180" cm="1">
        <f t="array" ref="Q338">+SUMPRODUCT(('Réel 2024'!$A$8:$A$501=$A338)*('Réel 2024'!$C$3:$AO$3=Q$2),'Réel 2024'!$C$8:$AO$501)</f>
        <v>73.61</v>
      </c>
      <c r="R338" s="223"/>
      <c r="S338" s="197">
        <f t="shared" si="69"/>
        <v>100.01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220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450.41</v>
      </c>
      <c r="M339" s="223"/>
      <c r="N339" s="225">
        <f t="shared" si="68"/>
        <v>230.41000000000003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265.71000000000004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3465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2809.42</v>
      </c>
      <c r="M340" s="223"/>
      <c r="N340" s="225">
        <f t="shared" si="68"/>
        <v>-655.57999999999993</v>
      </c>
      <c r="O340" s="223"/>
      <c r="P340" s="178"/>
      <c r="Q340" s="473" cm="1">
        <f t="array" ref="Q340">+SUMPRODUCT(('Réel 2024'!$A$8:$A$501=$A340)*('Réel 2024'!$C$3:$AO$3=Q$2),'Réel 2024'!$C$8:$AO$501)</f>
        <v>3321.1699999999996</v>
      </c>
      <c r="R340" s="223"/>
      <c r="S340" s="197">
        <f t="shared" si="69"/>
        <v>-511.74999999999955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1302.4000000000001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1559.83</v>
      </c>
      <c r="M341" s="223"/>
      <c r="N341" s="225">
        <f t="shared" si="68"/>
        <v>257.42999999999984</v>
      </c>
      <c r="O341" s="223"/>
      <c r="P341" s="178"/>
      <c r="Q341" s="180" cm="1">
        <f t="array" ref="Q341">+SUMPRODUCT(('Réel 2024'!$A$8:$A$501=$A341)*('Réel 2024'!$C$3:$AO$3=Q$2),'Réel 2024'!$C$8:$AO$501)</f>
        <v>1325.34</v>
      </c>
      <c r="R341" s="223"/>
      <c r="S341" s="197">
        <f t="shared" si="69"/>
        <v>234.49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6490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8789.56</v>
      </c>
      <c r="M342" s="223"/>
      <c r="N342" s="225">
        <f t="shared" si="68"/>
        <v>2299.5599999999995</v>
      </c>
      <c r="O342" s="223"/>
      <c r="P342" s="178"/>
      <c r="Q342" s="180" cm="1">
        <f t="array" ref="Q342">+SUMPRODUCT(('Réel 2024'!$A$8:$A$501=$A342)*('Réel 2024'!$C$3:$AO$3=Q$2),'Réel 2024'!$C$8:$AO$501)</f>
        <v>5545.75</v>
      </c>
      <c r="R342" s="223"/>
      <c r="S342" s="197">
        <f t="shared" si="69"/>
        <v>3243.8099999999995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3830.2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4191.53</v>
      </c>
      <c r="M343" s="223"/>
      <c r="N343" s="225">
        <f t="shared" si="68"/>
        <v>361.32999999999993</v>
      </c>
      <c r="O343" s="223"/>
      <c r="P343" s="178"/>
      <c r="Q343" s="180" cm="1">
        <f t="array" ref="Q343">+SUMPRODUCT(('Réel 2024'!$A$8:$A$501=$A343)*('Réel 2024'!$C$3:$AO$3=Q$2),'Réel 2024'!$C$8:$AO$501)</f>
        <v>3555.7599999999998</v>
      </c>
      <c r="R343" s="223"/>
      <c r="S343" s="197">
        <f t="shared" si="69"/>
        <v>635.77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2820.5638266666656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1058.51</v>
      </c>
      <c r="M344" s="223"/>
      <c r="N344" s="225">
        <f t="shared" si="68"/>
        <v>-1762.0538266666656</v>
      </c>
      <c r="O344" s="223"/>
      <c r="P344" s="178"/>
      <c r="Q344" s="180" cm="1">
        <f t="array" ref="Q344">+SUMPRODUCT(('Réel 2024'!$A$8:$A$501=$A344)*('Réel 2024'!$C$3:$AO$3=Q$2),'Réel 2024'!$C$8:$AO$501)</f>
        <v>641.3599999999999</v>
      </c>
      <c r="R344" s="223"/>
      <c r="S344" s="197">
        <f>L344-Q344</f>
        <v>417.15000000000009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14753.018456351336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14500.07</v>
      </c>
      <c r="M345" s="223"/>
      <c r="N345" s="225">
        <f t="shared" si="68"/>
        <v>-252.94845635133606</v>
      </c>
      <c r="O345" s="223"/>
      <c r="P345" s="178"/>
      <c r="Q345" s="180" cm="1">
        <f t="array" ref="Q345">+SUMPRODUCT(('Réel 2024'!$A$8:$A$501=$A345)*('Réel 2024'!$C$3:$AO$3=Q$2),'Réel 2024'!$C$8:$AO$501)</f>
        <v>14811.799999999997</v>
      </c>
      <c r="R345" s="223"/>
      <c r="S345" s="197">
        <f>L345-Q345</f>
        <v>-311.72999999999774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0.17564224954163646</v>
      </c>
      <c r="F349" s="41">
        <f>+SUM(F331:F348)</f>
        <v>176307.38737837452</v>
      </c>
      <c r="G349" s="42"/>
      <c r="H349" s="40"/>
      <c r="I349" s="41"/>
      <c r="J349" s="42" t="s">
        <v>108</v>
      </c>
      <c r="K349" s="40">
        <f>L349/L$314</f>
        <v>0.16786239430055994</v>
      </c>
      <c r="L349" s="41">
        <f>+SUM(L331:L348)</f>
        <v>186216.68</v>
      </c>
      <c r="M349" s="44"/>
      <c r="N349" s="41">
        <f>+SUM(N331:N348)</f>
        <v>9909.2926216254709</v>
      </c>
      <c r="O349" s="42" t="s">
        <v>108</v>
      </c>
      <c r="P349" s="40">
        <f>Q349/Q$314</f>
        <v>0.16912779722205246</v>
      </c>
      <c r="Q349" s="41">
        <f>+SUM(Q331:Q348)</f>
        <v>164861.41999999998</v>
      </c>
      <c r="R349" s="44"/>
      <c r="S349" s="285">
        <f>+SUM(S331:S348)</f>
        <v>21355.260000000017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0.4949904829130255</v>
      </c>
      <c r="F351" s="41">
        <f>F330+F349</f>
        <v>496864.9573055472</v>
      </c>
      <c r="G351" s="42"/>
      <c r="H351" s="40"/>
      <c r="I351" s="41"/>
      <c r="J351" s="42" t="s">
        <v>108</v>
      </c>
      <c r="K351" s="40">
        <f>L351/L$314</f>
        <v>0.4664889323597321</v>
      </c>
      <c r="L351" s="41">
        <f>L330+L349</f>
        <v>517495.42</v>
      </c>
      <c r="M351" s="44"/>
      <c r="N351" s="46">
        <f>L351-F351</f>
        <v>20630.462694452784</v>
      </c>
      <c r="O351" s="42" t="s">
        <v>108</v>
      </c>
      <c r="P351" s="40">
        <f>Q351/Q$314</f>
        <v>0.47221660268740878</v>
      </c>
      <c r="Q351" s="41">
        <f>Q330+Q349</f>
        <v>460304.57999999996</v>
      </c>
      <c r="R351" s="44"/>
      <c r="S351" s="281">
        <f>L351-Q351</f>
        <v>57190.840000000026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506921.93245744461</v>
      </c>
      <c r="G353" s="307"/>
      <c r="H353" s="305"/>
      <c r="I353" s="306"/>
      <c r="J353" s="308"/>
      <c r="K353" s="309"/>
      <c r="L353" s="306">
        <f>L314-L351</f>
        <v>591845.84000000008</v>
      </c>
      <c r="M353" s="308"/>
      <c r="N353" s="306">
        <f>L353-F353</f>
        <v>84923.907542555477</v>
      </c>
      <c r="O353" s="308"/>
      <c r="P353" s="309"/>
      <c r="Q353" s="306">
        <f>Q314-Q351</f>
        <v>514469.65999999817</v>
      </c>
      <c r="R353" s="308"/>
      <c r="S353" s="310">
        <f>L353-Q353</f>
        <v>77376.180000001914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300" t="s">
        <v>77</v>
      </c>
      <c r="E358" s="1301"/>
      <c r="F358" s="1302"/>
      <c r="G358" s="1303"/>
      <c r="H358" s="1301"/>
      <c r="I358" s="1302"/>
      <c r="J358" s="1303" t="s">
        <v>78</v>
      </c>
      <c r="K358" s="1301"/>
      <c r="L358" s="1302"/>
      <c r="M358" s="1303"/>
      <c r="N358" s="1302"/>
      <c r="O358" s="1300" t="s">
        <v>79</v>
      </c>
      <c r="P358" s="1301"/>
      <c r="Q358" s="1302"/>
      <c r="R358" s="1303" t="s">
        <v>80</v>
      </c>
      <c r="S358" s="130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550662.01409671584</v>
      </c>
      <c r="G401" s="25"/>
      <c r="H401" s="25"/>
      <c r="I401" s="25"/>
      <c r="J401" s="25"/>
      <c r="K401" s="25"/>
      <c r="L401" s="37">
        <f>L353+L289+L233</f>
        <v>812978.91000000015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7" t="s">
        <v>186</v>
      </c>
      <c r="Y404" s="1298"/>
      <c r="Z404" s="1308"/>
      <c r="AA404" s="1297"/>
      <c r="AB404" s="1298"/>
      <c r="AC404" s="1308"/>
      <c r="AD404" s="1297" t="s">
        <v>78</v>
      </c>
      <c r="AE404" s="1298"/>
      <c r="AF404" s="1308"/>
      <c r="AG404" s="1297" t="s">
        <v>2442</v>
      </c>
      <c r="AH404" s="1298"/>
      <c r="AI404" s="1308"/>
      <c r="AJ404" s="1297" t="s">
        <v>2335</v>
      </c>
      <c r="AK404" s="1298"/>
      <c r="AL404" s="1298"/>
      <c r="AM404" s="1297" t="s">
        <v>187</v>
      </c>
      <c r="AN404" s="1298"/>
      <c r="AO404" s="1299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44706116.534397975</v>
      </c>
      <c r="AA406" s="388"/>
      <c r="AB406" s="388"/>
      <c r="AC406" s="389"/>
      <c r="AD406" s="390"/>
      <c r="AE406" s="391"/>
      <c r="AF406" s="391">
        <f>L5+L93+K194+K250+J314+J362</f>
        <v>41462881.549999997</v>
      </c>
      <c r="AG406" s="390"/>
      <c r="AH406" s="391"/>
      <c r="AI406" s="392"/>
      <c r="AJ406" s="390"/>
      <c r="AK406" s="391"/>
      <c r="AL406" s="391">
        <f>Q5+Q93+P194+P250+O314+O362</f>
        <v>42374863.489999928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4268448.1872902792</v>
      </c>
      <c r="AA407" s="81"/>
      <c r="AB407" s="81"/>
      <c r="AC407" s="82"/>
      <c r="AD407" s="83"/>
      <c r="AE407" s="84"/>
      <c r="AF407" s="84">
        <f>L27+L108+L194+L250+L314+L362</f>
        <v>4628427.4399999967</v>
      </c>
      <c r="AG407" s="83"/>
      <c r="AH407" s="84">
        <f>AF407-Z407</f>
        <v>359979.25270971749</v>
      </c>
      <c r="AI407" s="85">
        <f>AH407/Z407</f>
        <v>8.4334923821165461E-2</v>
      </c>
      <c r="AJ407" s="83">
        <f>+AL407/AL406</f>
        <v>9.7882455738856275E-2</v>
      </c>
      <c r="AK407" s="84"/>
      <c r="AL407" s="84">
        <f>Q27+Q108+Q194+Q250+Q314+Q362</f>
        <v>4147755.6999999946</v>
      </c>
      <c r="AM407" s="86"/>
      <c r="AN407" s="84">
        <f>AF407-AL407</f>
        <v>480671.74000000209</v>
      </c>
      <c r="AO407" s="396">
        <f>IF(AL407=0,0,AN407/AL407)</f>
        <v>0.11588718689483152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928.05455502700261</v>
      </c>
      <c r="Z409" s="87">
        <f t="shared" ref="Z409:Z418" si="76">+SUMIF($C:$C,$V409,F:F)</f>
        <v>402775.67688171915</v>
      </c>
      <c r="AA409" s="398"/>
      <c r="AB409" s="404"/>
      <c r="AC409" s="87"/>
      <c r="AD409" s="405"/>
      <c r="AE409" s="404">
        <f t="shared" ref="AE409:AE414" si="77">IF(AF409=0,0,AF409/(J$13+J$97))</f>
        <v>930.49885941644561</v>
      </c>
      <c r="AF409" s="87">
        <f t="shared" ref="AF409:AF418" si="78">+SUMIF($C:$C,$V409,L:L)</f>
        <v>350798.07</v>
      </c>
      <c r="AG409" s="399">
        <f t="shared" ref="AG409:AG418" si="79">AE409-Y409</f>
        <v>2.4443043894430048</v>
      </c>
      <c r="AH409" s="400">
        <f t="shared" ref="AH409:AH418" si="80">AF409-Z409</f>
        <v>-51977.606881719141</v>
      </c>
      <c r="AI409" s="401">
        <f t="shared" ref="AI409:AI418" si="81">IF(Z409=0,0,AH409/Z409)</f>
        <v>-0.12904852468780809</v>
      </c>
      <c r="AJ409" s="405"/>
      <c r="AK409" s="400">
        <f t="shared" ref="AK409:AK418" si="82">AL409/(O$13+O$97)</f>
        <v>1081.7749360613811</v>
      </c>
      <c r="AL409" s="87">
        <f t="shared" ref="AL409:AL418" si="83">+SUMIF($C:$C,$V409,Q:Q)</f>
        <v>422974</v>
      </c>
      <c r="AM409" s="402">
        <f t="shared" ref="AM409:AM414" si="84">AE409-Y409</f>
        <v>2.4443043894430048</v>
      </c>
      <c r="AN409" s="400">
        <f t="shared" ref="AN409:AN431" si="85">AF409-AL409</f>
        <v>-72175.929999999993</v>
      </c>
      <c r="AO409" s="212">
        <f t="shared" ref="AO409:AO419" si="86">IF(AL409=0,0,AN409/AL409)</f>
        <v>-0.17063916458222017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462.06336405529953</v>
      </c>
      <c r="Z410" s="389">
        <f t="shared" si="76"/>
        <v>200535.5</v>
      </c>
      <c r="AA410" s="388"/>
      <c r="AB410" s="407"/>
      <c r="AC410" s="389"/>
      <c r="AD410" s="408"/>
      <c r="AE410" s="407">
        <f t="shared" si="77"/>
        <v>549.65103448275863</v>
      </c>
      <c r="AF410" s="389">
        <f t="shared" si="78"/>
        <v>207218.44</v>
      </c>
      <c r="AG410" s="390">
        <f t="shared" si="79"/>
        <v>87.587670427459102</v>
      </c>
      <c r="AH410" s="391">
        <f t="shared" si="80"/>
        <v>6682.9400000000023</v>
      </c>
      <c r="AI410" s="409">
        <f t="shared" si="81"/>
        <v>3.3325471051260262E-2</v>
      </c>
      <c r="AJ410" s="408"/>
      <c r="AK410" s="391">
        <f t="shared" si="82"/>
        <v>598.66186700767253</v>
      </c>
      <c r="AL410" s="389">
        <f t="shared" si="83"/>
        <v>234076.78999999998</v>
      </c>
      <c r="AM410" s="393">
        <f t="shared" si="84"/>
        <v>87.587670427459102</v>
      </c>
      <c r="AN410" s="391">
        <f t="shared" si="85"/>
        <v>-26858.349999999977</v>
      </c>
      <c r="AO410" s="213">
        <f t="shared" si="86"/>
        <v>-0.11474161961978366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120.25345622119816</v>
      </c>
      <c r="Z411" s="87">
        <f t="shared" si="76"/>
        <v>52190</v>
      </c>
      <c r="AA411" s="398"/>
      <c r="AB411" s="404"/>
      <c r="AC411" s="87"/>
      <c r="AD411" s="405"/>
      <c r="AE411" s="404">
        <f t="shared" si="77"/>
        <v>114.81328912466843</v>
      </c>
      <c r="AF411" s="87">
        <f t="shared" si="78"/>
        <v>43284.61</v>
      </c>
      <c r="AG411" s="399">
        <f t="shared" si="79"/>
        <v>-5.4401670965297342</v>
      </c>
      <c r="AH411" s="400">
        <f t="shared" si="80"/>
        <v>-8905.39</v>
      </c>
      <c r="AI411" s="401">
        <f t="shared" si="81"/>
        <v>-0.17063402950756848</v>
      </c>
      <c r="AJ411" s="405"/>
      <c r="AK411" s="400">
        <f t="shared" si="82"/>
        <v>119.44608695652174</v>
      </c>
      <c r="AL411" s="87">
        <f t="shared" si="83"/>
        <v>46703.42</v>
      </c>
      <c r="AM411" s="402">
        <f t="shared" si="84"/>
        <v>-5.4401670965297342</v>
      </c>
      <c r="AN411" s="400">
        <f t="shared" si="85"/>
        <v>-3418.8099999999977</v>
      </c>
      <c r="AO411" s="212">
        <f t="shared" si="86"/>
        <v>-7.3202562039353811E-2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67.78801843317973</v>
      </c>
      <c r="Z412" s="87">
        <f t="shared" si="76"/>
        <v>29420</v>
      </c>
      <c r="AA412" s="398"/>
      <c r="AB412" s="404"/>
      <c r="AC412" s="87"/>
      <c r="AD412" s="405"/>
      <c r="AE412" s="404">
        <f t="shared" si="77"/>
        <v>49.501750663129975</v>
      </c>
      <c r="AF412" s="87">
        <f t="shared" si="78"/>
        <v>18662.16</v>
      </c>
      <c r="AG412" s="399">
        <f t="shared" si="79"/>
        <v>-18.286267770049754</v>
      </c>
      <c r="AH412" s="400">
        <f t="shared" si="80"/>
        <v>-10757.84</v>
      </c>
      <c r="AI412" s="401">
        <f t="shared" si="81"/>
        <v>-0.36566417403127127</v>
      </c>
      <c r="AJ412" s="405"/>
      <c r="AK412" s="400">
        <f t="shared" si="82"/>
        <v>72.385780051150903</v>
      </c>
      <c r="AL412" s="87">
        <f t="shared" si="83"/>
        <v>28302.840000000004</v>
      </c>
      <c r="AM412" s="402">
        <f t="shared" si="84"/>
        <v>-18.286267770049754</v>
      </c>
      <c r="AN412" s="400">
        <f t="shared" si="85"/>
        <v>-9640.6800000000039</v>
      </c>
      <c r="AO412" s="214">
        <f t="shared" si="86"/>
        <v>-0.34062588772010166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83.986175115207374</v>
      </c>
      <c r="Z413" s="389">
        <f t="shared" si="76"/>
        <v>36450</v>
      </c>
      <c r="AA413" s="388"/>
      <c r="AB413" s="407"/>
      <c r="AC413" s="389"/>
      <c r="AD413" s="408"/>
      <c r="AE413" s="407">
        <f t="shared" si="77"/>
        <v>135.50416445623341</v>
      </c>
      <c r="AF413" s="389">
        <f t="shared" si="78"/>
        <v>51085.07</v>
      </c>
      <c r="AG413" s="390">
        <f t="shared" si="79"/>
        <v>51.517989341026038</v>
      </c>
      <c r="AH413" s="391">
        <f t="shared" si="80"/>
        <v>14635.07</v>
      </c>
      <c r="AI413" s="409">
        <f t="shared" si="81"/>
        <v>0.40151083676268862</v>
      </c>
      <c r="AJ413" s="408"/>
      <c r="AK413" s="391">
        <f t="shared" si="82"/>
        <v>89.057698209718666</v>
      </c>
      <c r="AL413" s="389">
        <f t="shared" si="83"/>
        <v>34821.56</v>
      </c>
      <c r="AM413" s="393">
        <f t="shared" si="84"/>
        <v>51.517989341026038</v>
      </c>
      <c r="AN413" s="391">
        <f t="shared" si="85"/>
        <v>16263.510000000002</v>
      </c>
      <c r="AO413" s="213">
        <f t="shared" si="86"/>
        <v>0.46705288332860456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470.33071293033339</v>
      </c>
      <c r="Z414" s="87">
        <f t="shared" si="76"/>
        <v>204123.5294117647</v>
      </c>
      <c r="AA414" s="401"/>
      <c r="AB414" s="404"/>
      <c r="AC414" s="87"/>
      <c r="AD414" s="405"/>
      <c r="AE414" s="404">
        <f t="shared" si="77"/>
        <v>546.69374005305042</v>
      </c>
      <c r="AF414" s="87">
        <f t="shared" si="78"/>
        <v>206103.54</v>
      </c>
      <c r="AG414" s="399">
        <f t="shared" si="79"/>
        <v>76.363027122717028</v>
      </c>
      <c r="AH414" s="400">
        <f t="shared" si="80"/>
        <v>1980.0105882353091</v>
      </c>
      <c r="AI414" s="401">
        <f t="shared" si="81"/>
        <v>9.7000605169880565E-3</v>
      </c>
      <c r="AJ414" s="405"/>
      <c r="AK414" s="400">
        <f t="shared" si="82"/>
        <v>563.59455242966715</v>
      </c>
      <c r="AL414" s="87">
        <f t="shared" si="83"/>
        <v>220365.46999999986</v>
      </c>
      <c r="AM414" s="402">
        <f t="shared" si="84"/>
        <v>76.363027122717028</v>
      </c>
      <c r="AN414" s="400">
        <f t="shared" si="85"/>
        <v>-14261.929999999847</v>
      </c>
      <c r="AO414" s="212">
        <f t="shared" si="86"/>
        <v>-6.4719440845246112E-2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812.3206361708485</v>
      </c>
      <c r="Z415" s="87">
        <f t="shared" si="76"/>
        <v>352547.15609814826</v>
      </c>
      <c r="AA415" s="398"/>
      <c r="AB415" s="404"/>
      <c r="AC415" s="87"/>
      <c r="AD415" s="405"/>
      <c r="AE415" s="404">
        <f>IF(AF415=0,0,AF415/(J$13+J$13))</f>
        <v>772.12741025641026</v>
      </c>
      <c r="AF415" s="87">
        <f t="shared" si="78"/>
        <v>301129.69</v>
      </c>
      <c r="AG415" s="399">
        <f t="shared" si="79"/>
        <v>-40.193225914438244</v>
      </c>
      <c r="AH415" s="400">
        <f t="shared" si="80"/>
        <v>-51417.466098148259</v>
      </c>
      <c r="AI415" s="401">
        <f t="shared" si="81"/>
        <v>-0.14584564138090442</v>
      </c>
      <c r="AJ415" s="405"/>
      <c r="AK415" s="400">
        <f t="shared" si="82"/>
        <v>1066.9655242966753</v>
      </c>
      <c r="AL415" s="87">
        <f t="shared" si="83"/>
        <v>417183.52</v>
      </c>
      <c r="AM415" s="402">
        <f>AE415-Y415</f>
        <v>-40.193225914438244</v>
      </c>
      <c r="AN415" s="400">
        <f>AF415-AL415</f>
        <v>-116053.83000000002</v>
      </c>
      <c r="AO415" s="212">
        <f t="shared" si="86"/>
        <v>-0.27818411906587298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0.29941604215722389</v>
      </c>
      <c r="Y419" s="88"/>
      <c r="Z419" s="90">
        <f>SUM(Z409:Z418)</f>
        <v>1278041.8623916321</v>
      </c>
      <c r="AA419" s="89"/>
      <c r="AB419" s="88"/>
      <c r="AC419" s="90"/>
      <c r="AD419" s="91">
        <f>AF419/AF407</f>
        <v>0.25457492750496719</v>
      </c>
      <c r="AE419" s="88"/>
      <c r="AF419" s="90">
        <f>SUM(AF409:AF418)</f>
        <v>1178281.58</v>
      </c>
      <c r="AG419" s="92"/>
      <c r="AH419" s="93">
        <f t="shared" ref="AH419:AH451" si="87">AF419-Z419</f>
        <v>-99760.282391631976</v>
      </c>
      <c r="AI419" s="89">
        <f>AH419/Z419</f>
        <v>-7.805713202926548E-2</v>
      </c>
      <c r="AJ419" s="91">
        <f>IF($AL$407=0,0,AL419/$AL$407)</f>
        <v>0.33859940208146827</v>
      </c>
      <c r="AK419" s="88"/>
      <c r="AL419" s="90">
        <f>SUM(AL409:AL418)</f>
        <v>1404427.6</v>
      </c>
      <c r="AM419" s="94"/>
      <c r="AN419" s="93">
        <f t="shared" si="85"/>
        <v>-226146.02000000002</v>
      </c>
      <c r="AO419" s="396">
        <f t="shared" si="86"/>
        <v>-0.16102362272003198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155261.72667256114</v>
      </c>
      <c r="AA420" s="398"/>
      <c r="AB420" s="398"/>
      <c r="AC420" s="87"/>
      <c r="AD420" s="405"/>
      <c r="AE420" s="404"/>
      <c r="AF420" s="87">
        <f>SUMIFS(BV_Data_An_Cour!$P:$P,BV_Data_An_Cour!$V:$V,$V420)</f>
        <v>163308.28000000003</v>
      </c>
      <c r="AG420" s="399"/>
      <c r="AH420" s="400">
        <f t="shared" si="87"/>
        <v>8046.5533274388872</v>
      </c>
      <c r="AI420" s="401">
        <f t="shared" ref="AI420:AI432" si="88">IF(Z420=0,0,AH420/Z420)</f>
        <v>5.1825736450868201E-2</v>
      </c>
      <c r="AJ420" s="405"/>
      <c r="AK420" s="398"/>
      <c r="AL420" s="87" cm="1">
        <f t="array" ref="AL420">+SUMPRODUCT(('Réel 2024'!$A$8:$A$501=$A420)*('Réel 2024'!$C$3:$AO$3=Z$2),'Réel 2024'!$C$8:$AO$501)</f>
        <v>147455.2999999999</v>
      </c>
      <c r="AM420" s="402"/>
      <c r="AN420" s="400">
        <f t="shared" si="85"/>
        <v>15852.980000000127</v>
      </c>
      <c r="AO420" s="212">
        <f t="shared" ref="AO420:AO431" si="89">IF(AL420=0,0,AN420/AL420)</f>
        <v>0.10751041162983045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353014.11744768644</v>
      </c>
      <c r="AA421" s="398"/>
      <c r="AB421" s="398"/>
      <c r="AC421" s="87"/>
      <c r="AD421" s="405"/>
      <c r="AE421" s="404"/>
      <c r="AF421" s="87">
        <f t="shared" ref="AF421:AF432" si="91">+SUMIF($C:$C,$V421,L:L)</f>
        <v>362088.11</v>
      </c>
      <c r="AG421" s="399"/>
      <c r="AH421" s="400">
        <f t="shared" si="87"/>
        <v>9073.9925523135462</v>
      </c>
      <c r="AI421" s="401">
        <f t="shared" si="88"/>
        <v>2.5704333350516022E-2</v>
      </c>
      <c r="AJ421" s="405"/>
      <c r="AK421" s="398"/>
      <c r="AL421" s="87">
        <f t="shared" ref="AL421:AL432" si="92">+SUMIF($C:$C,$V421,Q:Q)</f>
        <v>317943.22999999992</v>
      </c>
      <c r="AM421" s="402"/>
      <c r="AN421" s="400">
        <f t="shared" si="85"/>
        <v>44144.880000000063</v>
      </c>
      <c r="AO421" s="212">
        <f t="shared" si="89"/>
        <v>0.13884516427665428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228460.57950191572</v>
      </c>
      <c r="AA422" s="388"/>
      <c r="AB422" s="388"/>
      <c r="AC422" s="389"/>
      <c r="AD422" s="408"/>
      <c r="AE422" s="407"/>
      <c r="AF422" s="389">
        <f t="shared" si="91"/>
        <v>221714.39</v>
      </c>
      <c r="AG422" s="390"/>
      <c r="AH422" s="391">
        <f t="shared" si="87"/>
        <v>-6746.1895019157091</v>
      </c>
      <c r="AI422" s="409">
        <f t="shared" si="88"/>
        <v>-2.9528899544173395E-2</v>
      </c>
      <c r="AJ422" s="408"/>
      <c r="AK422" s="388"/>
      <c r="AL422" s="389">
        <f t="shared" si="92"/>
        <v>216688.27000000002</v>
      </c>
      <c r="AM422" s="393"/>
      <c r="AN422" s="391">
        <f t="shared" si="85"/>
        <v>5026.1199999999953</v>
      </c>
      <c r="AO422" s="394">
        <f t="shared" si="89"/>
        <v>2.3195164186783138E-2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254479.11885057471</v>
      </c>
      <c r="AA423" s="398"/>
      <c r="AB423" s="398"/>
      <c r="AC423" s="87"/>
      <c r="AD423" s="405"/>
      <c r="AE423" s="404"/>
      <c r="AF423" s="87">
        <f t="shared" si="91"/>
        <v>277549.18</v>
      </c>
      <c r="AG423" s="399"/>
      <c r="AH423" s="400">
        <f t="shared" si="87"/>
        <v>23070.061149425281</v>
      </c>
      <c r="AI423" s="401">
        <f t="shared" si="88"/>
        <v>9.0656008452196749E-2</v>
      </c>
      <c r="AJ423" s="405"/>
      <c r="AK423" s="398"/>
      <c r="AL423" s="87">
        <f t="shared" si="92"/>
        <v>239191.97999999998</v>
      </c>
      <c r="AM423" s="402"/>
      <c r="AN423" s="400">
        <f t="shared" si="85"/>
        <v>38357.200000000012</v>
      </c>
      <c r="AO423" s="212">
        <f t="shared" si="89"/>
        <v>0.16036156396213624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157463.18655555556</v>
      </c>
      <c r="AA424" s="398"/>
      <c r="AB424" s="398"/>
      <c r="AC424" s="87"/>
      <c r="AD424" s="405"/>
      <c r="AE424" s="404"/>
      <c r="AF424" s="87">
        <f t="shared" si="91"/>
        <v>162412.04</v>
      </c>
      <c r="AG424" s="399"/>
      <c r="AH424" s="400">
        <f t="shared" si="87"/>
        <v>4948.8534444444522</v>
      </c>
      <c r="AI424" s="401">
        <f t="shared" si="88"/>
        <v>3.1428637719702293E-2</v>
      </c>
      <c r="AJ424" s="405"/>
      <c r="AK424" s="398"/>
      <c r="AL424" s="87">
        <f t="shared" si="92"/>
        <v>128732.62999999999</v>
      </c>
      <c r="AM424" s="402"/>
      <c r="AN424" s="400">
        <f t="shared" si="85"/>
        <v>33679.410000000018</v>
      </c>
      <c r="AO424" s="212">
        <f t="shared" si="89"/>
        <v>0.26162294672298719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250188.63231395569</v>
      </c>
      <c r="AA428" s="388"/>
      <c r="AB428" s="388"/>
      <c r="AC428" s="389"/>
      <c r="AD428" s="408"/>
      <c r="AE428" s="407"/>
      <c r="AF428" s="389">
        <f t="shared" si="91"/>
        <v>265906.06</v>
      </c>
      <c r="AG428" s="390"/>
      <c r="AH428" s="391">
        <f t="shared" si="87"/>
        <v>15717.427686044306</v>
      </c>
      <c r="AI428" s="409">
        <f t="shared" si="88"/>
        <v>6.2822309473760926E-2</v>
      </c>
      <c r="AJ428" s="408"/>
      <c r="AK428" s="388"/>
      <c r="AL428" s="389">
        <f t="shared" si="92"/>
        <v>233224.47999999995</v>
      </c>
      <c r="AM428" s="393"/>
      <c r="AN428" s="391">
        <f t="shared" si="85"/>
        <v>32681.580000000045</v>
      </c>
      <c r="AO428" s="213">
        <f t="shared" si="89"/>
        <v>0.14012928659976026</v>
      </c>
      <c r="AP428" s="712"/>
      <c r="AQ428" s="1103">
        <f>AF428/($AF$420+$AF$421+$AF$422+$AF$423+$AF$424+$AF$409+$AF$410+$K$185-$L$185)</f>
        <v>0.11845517286873318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308462.93232578313</v>
      </c>
      <c r="AA429" s="398"/>
      <c r="AB429" s="398"/>
      <c r="AC429" s="87"/>
      <c r="AD429" s="405"/>
      <c r="AE429" s="404"/>
      <c r="AF429" s="87">
        <f t="shared" si="91"/>
        <v>324654.98000000004</v>
      </c>
      <c r="AG429" s="399"/>
      <c r="AH429" s="400">
        <f t="shared" si="87"/>
        <v>16192.047674216912</v>
      </c>
      <c r="AI429" s="401">
        <f t="shared" si="88"/>
        <v>5.2492685432671958E-2</v>
      </c>
      <c r="AJ429" s="405"/>
      <c r="AK429" s="398"/>
      <c r="AL429" s="87">
        <f t="shared" si="92"/>
        <v>281677.56</v>
      </c>
      <c r="AM429" s="402"/>
      <c r="AN429" s="400">
        <f t="shared" si="85"/>
        <v>42977.420000000042</v>
      </c>
      <c r="AO429" s="212">
        <f t="shared" si="89"/>
        <v>0.15257665537858267</v>
      </c>
      <c r="AP429" s="712"/>
      <c r="AQ429" s="711">
        <f>AF429/($AF$420+$AF$421+$AF$422+$AF$423+$AF$424+$AF$409+$AF$410+$K$185-$L$185)</f>
        <v>0.14462649620920681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159210.83951710092</v>
      </c>
      <c r="AA430" s="398"/>
      <c r="AB430" s="398"/>
      <c r="AC430" s="87"/>
      <c r="AD430" s="405"/>
      <c r="AE430" s="404"/>
      <c r="AF430" s="87">
        <f t="shared" si="91"/>
        <v>162352.44999999998</v>
      </c>
      <c r="AG430" s="399"/>
      <c r="AH430" s="400">
        <f t="shared" si="87"/>
        <v>3141.6104828990647</v>
      </c>
      <c r="AI430" s="401">
        <f t="shared" si="88"/>
        <v>1.9732390661514117E-2</v>
      </c>
      <c r="AJ430" s="405"/>
      <c r="AK430" s="398"/>
      <c r="AL430" s="87">
        <f t="shared" si="92"/>
        <v>136557.46000000002</v>
      </c>
      <c r="AM430" s="402"/>
      <c r="AN430" s="400">
        <f t="shared" si="85"/>
        <v>25794.989999999962</v>
      </c>
      <c r="AO430" s="212">
        <f t="shared" si="89"/>
        <v>0.18889477001109978</v>
      </c>
      <c r="AP430" s="712"/>
      <c r="AQ430" s="711">
        <f>AF430/($AF$420+$AF$421+$AF$422+$AF$423+$AF$424+$AF$409+$AF$410+$K$185-$L$185)</f>
        <v>7.2324367223568956E-2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34116.608467950187</v>
      </c>
      <c r="AA431" s="398"/>
      <c r="AB431" s="398"/>
      <c r="AC431" s="87"/>
      <c r="AD431" s="405"/>
      <c r="AE431" s="404"/>
      <c r="AF431" s="87">
        <f t="shared" si="91"/>
        <v>51394.069999999992</v>
      </c>
      <c r="AG431" s="399"/>
      <c r="AH431" s="400">
        <f t="shared" si="87"/>
        <v>17277.461532049805</v>
      </c>
      <c r="AI431" s="97">
        <f t="shared" si="88"/>
        <v>0.50642377152701423</v>
      </c>
      <c r="AJ431" s="405"/>
      <c r="AK431" s="398"/>
      <c r="AL431" s="87">
        <f t="shared" si="92"/>
        <v>28833.760000000002</v>
      </c>
      <c r="AM431" s="402"/>
      <c r="AN431" s="400">
        <f t="shared" si="85"/>
        <v>22560.30999999999</v>
      </c>
      <c r="AO431" s="213">
        <f t="shared" si="89"/>
        <v>0.78242691900050454</v>
      </c>
      <c r="AP431" s="712"/>
      <c r="AQ431" s="711">
        <f>AF431/($AF$420+$AF$421+$AF$422+$AF$423+$AF$424+$AF$409+$AF$410+$K$185-$L$185)</f>
        <v>2.2894902982947336E-2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0.44528073394740442</v>
      </c>
      <c r="Y433" s="88"/>
      <c r="Z433" s="90">
        <f>SUM(Z420:Z432)</f>
        <v>1900657.7416530834</v>
      </c>
      <c r="AA433" s="89"/>
      <c r="AB433" s="88"/>
      <c r="AC433" s="90"/>
      <c r="AD433" s="91">
        <f>AF433/AF407</f>
        <v>0.43024970917552108</v>
      </c>
      <c r="AE433" s="98"/>
      <c r="AF433" s="90">
        <f>SUM(AF420:AF432)</f>
        <v>1991379.56</v>
      </c>
      <c r="AG433" s="99"/>
      <c r="AH433" s="93">
        <f t="shared" si="87"/>
        <v>90721.818346916698</v>
      </c>
      <c r="AI433" s="89">
        <f>AH433/Z433</f>
        <v>4.773180165936243E-2</v>
      </c>
      <c r="AJ433" s="91">
        <f>IF($AL$407=0,0,AL433/$AL$407)</f>
        <v>0.41716648596251749</v>
      </c>
      <c r="AK433" s="88"/>
      <c r="AL433" s="90">
        <f>SUM(AL420:AL432)</f>
        <v>1730304.6699999997</v>
      </c>
      <c r="AM433" s="100"/>
      <c r="AN433" s="93">
        <f t="shared" ref="AN433:AN447" si="93">AF433-AL433</f>
        <v>261074.89000000036</v>
      </c>
      <c r="AO433" s="396">
        <f>IF(AL433=0,0,AN433/AL433)</f>
        <v>0.15088376892608191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94613.157415304333</v>
      </c>
      <c r="AA434" s="412"/>
      <c r="AB434" s="412"/>
      <c r="AC434" s="238"/>
      <c r="AD434" s="413"/>
      <c r="AE434" s="414"/>
      <c r="AF434" s="238">
        <f t="shared" ref="AF434:AF451" si="95">+SUMIF($C:$C,$V434,L:L)</f>
        <v>121430.11</v>
      </c>
      <c r="AG434" s="413"/>
      <c r="AH434" s="415">
        <f t="shared" si="87"/>
        <v>26816.952584695668</v>
      </c>
      <c r="AI434" s="416">
        <f t="shared" ref="AI434:AI451" si="96">IF(Z434=0,0,AH434/Z434)</f>
        <v>0.28343787816934052</v>
      </c>
      <c r="AJ434" s="413"/>
      <c r="AK434" s="412"/>
      <c r="AL434" s="238">
        <f t="shared" ref="AL434:AL447" si="97">+SUMIF($C:$C,$V434,Q:Q)</f>
        <v>105315.7</v>
      </c>
      <c r="AM434" s="417"/>
      <c r="AN434" s="415">
        <f t="shared" si="93"/>
        <v>16114.410000000003</v>
      </c>
      <c r="AO434" s="211">
        <f t="shared" ref="AO434:AO447" si="98">IF(AL434=0,0,AN434/AL434)</f>
        <v>0.15301051979904234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36666.666666666657</v>
      </c>
      <c r="AA435" s="398"/>
      <c r="AB435" s="398"/>
      <c r="AC435" s="87"/>
      <c r="AD435" s="405"/>
      <c r="AE435" s="404"/>
      <c r="AF435" s="87">
        <f t="shared" si="95"/>
        <v>44477.81</v>
      </c>
      <c r="AG435" s="399"/>
      <c r="AH435" s="400">
        <f t="shared" si="87"/>
        <v>7811.1433333333407</v>
      </c>
      <c r="AI435" s="401">
        <f t="shared" si="96"/>
        <v>0.21303118181818206</v>
      </c>
      <c r="AJ435" s="405"/>
      <c r="AK435" s="398"/>
      <c r="AL435" s="87">
        <f t="shared" si="97"/>
        <v>40938.949999999975</v>
      </c>
      <c r="AM435" s="402"/>
      <c r="AN435" s="400">
        <f t="shared" si="93"/>
        <v>3538.8600000000224</v>
      </c>
      <c r="AO435" s="212">
        <f t="shared" si="98"/>
        <v>8.6442373338838058E-2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204124.66666666669</v>
      </c>
      <c r="AA436" s="388"/>
      <c r="AB436" s="388"/>
      <c r="AC436" s="389"/>
      <c r="AD436" s="408"/>
      <c r="AE436" s="407"/>
      <c r="AF436" s="389">
        <f t="shared" si="95"/>
        <v>226405.3</v>
      </c>
      <c r="AG436" s="390"/>
      <c r="AH436" s="391">
        <f t="shared" si="87"/>
        <v>22280.633333333302</v>
      </c>
      <c r="AI436" s="409">
        <f t="shared" si="96"/>
        <v>0.10915208679663066</v>
      </c>
      <c r="AJ436" s="408"/>
      <c r="AK436" s="388"/>
      <c r="AL436" s="389">
        <f t="shared" si="97"/>
        <v>194569.71999999997</v>
      </c>
      <c r="AM436" s="393"/>
      <c r="AN436" s="391">
        <f t="shared" si="93"/>
        <v>31835.580000000016</v>
      </c>
      <c r="AO436" s="394">
        <f t="shared" si="98"/>
        <v>0.16362042356847725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155804</v>
      </c>
      <c r="AA437" s="398"/>
      <c r="AB437" s="398"/>
      <c r="AC437" s="87"/>
      <c r="AD437" s="405"/>
      <c r="AE437" s="404"/>
      <c r="AF437" s="87">
        <f t="shared" si="95"/>
        <v>159398.66</v>
      </c>
      <c r="AG437" s="399"/>
      <c r="AH437" s="400">
        <f t="shared" si="87"/>
        <v>3594.6600000000035</v>
      </c>
      <c r="AI437" s="401">
        <f t="shared" si="96"/>
        <v>2.3071679802829217E-2</v>
      </c>
      <c r="AJ437" s="405"/>
      <c r="AK437" s="398"/>
      <c r="AL437" s="87">
        <f t="shared" si="97"/>
        <v>151015.04999999999</v>
      </c>
      <c r="AM437" s="402"/>
      <c r="AN437" s="400">
        <f t="shared" si="93"/>
        <v>8383.6100000000151</v>
      </c>
      <c r="AO437" s="212">
        <f t="shared" si="98"/>
        <v>5.5515062902671067E-2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20166.666666666664</v>
      </c>
      <c r="AA438" s="398"/>
      <c r="AB438" s="398"/>
      <c r="AC438" s="87"/>
      <c r="AD438" s="405"/>
      <c r="AE438" s="404"/>
      <c r="AF438" s="87">
        <f t="shared" si="95"/>
        <v>22390.690000000002</v>
      </c>
      <c r="AG438" s="399"/>
      <c r="AH438" s="400">
        <f t="shared" si="87"/>
        <v>2224.0233333333381</v>
      </c>
      <c r="AI438" s="401">
        <f t="shared" si="96"/>
        <v>0.11028214876033082</v>
      </c>
      <c r="AJ438" s="405"/>
      <c r="AK438" s="398"/>
      <c r="AL438" s="87">
        <f t="shared" si="97"/>
        <v>26018.639999999996</v>
      </c>
      <c r="AM438" s="402"/>
      <c r="AN438" s="400">
        <f t="shared" si="93"/>
        <v>-3627.9499999999935</v>
      </c>
      <c r="AO438" s="212">
        <f t="shared" si="98"/>
        <v>-0.13943657316446956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128876</v>
      </c>
      <c r="AA439" s="398"/>
      <c r="AB439" s="398"/>
      <c r="AC439" s="87"/>
      <c r="AD439" s="405"/>
      <c r="AE439" s="404"/>
      <c r="AF439" s="87">
        <f t="shared" si="95"/>
        <v>93192.960000000006</v>
      </c>
      <c r="AG439" s="399"/>
      <c r="AH439" s="400">
        <f t="shared" si="87"/>
        <v>-35683.039999999994</v>
      </c>
      <c r="AI439" s="401">
        <f t="shared" si="96"/>
        <v>-0.27687886029982306</v>
      </c>
      <c r="AJ439" s="405"/>
      <c r="AK439" s="398"/>
      <c r="AL439" s="87">
        <f t="shared" si="97"/>
        <v>133031.91999999998</v>
      </c>
      <c r="AM439" s="402"/>
      <c r="AN439" s="400">
        <f t="shared" si="93"/>
        <v>-39838.959999999977</v>
      </c>
      <c r="AO439" s="212">
        <f t="shared" si="98"/>
        <v>-0.29946918002837203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12842.5</v>
      </c>
      <c r="AA441" s="398"/>
      <c r="AB441" s="404"/>
      <c r="AC441" s="87"/>
      <c r="AD441" s="405"/>
      <c r="AE441" s="404"/>
      <c r="AF441" s="87">
        <f t="shared" si="95"/>
        <v>34489.980000000003</v>
      </c>
      <c r="AG441" s="399"/>
      <c r="AH441" s="400">
        <f t="shared" si="87"/>
        <v>21647.480000000003</v>
      </c>
      <c r="AI441" s="401">
        <f t="shared" si="96"/>
        <v>1.6856126143663619</v>
      </c>
      <c r="AJ441" s="405"/>
      <c r="AK441" s="398"/>
      <c r="AL441" s="87">
        <f t="shared" si="97"/>
        <v>12171.329999999998</v>
      </c>
      <c r="AM441" s="402"/>
      <c r="AN441" s="400">
        <f t="shared" si="93"/>
        <v>22318.650000000005</v>
      </c>
      <c r="AO441" s="212">
        <f t="shared" si="98"/>
        <v>1.8337067518504557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11660</v>
      </c>
      <c r="AA442" s="398"/>
      <c r="AB442" s="398"/>
      <c r="AC442" s="87"/>
      <c r="AD442" s="405"/>
      <c r="AE442" s="404"/>
      <c r="AF442" s="87">
        <f t="shared" si="95"/>
        <v>15203.039999999999</v>
      </c>
      <c r="AG442" s="399"/>
      <c r="AH442" s="400">
        <f t="shared" si="87"/>
        <v>3543.0399999999991</v>
      </c>
      <c r="AI442" s="97">
        <f t="shared" si="96"/>
        <v>0.30386277873070316</v>
      </c>
      <c r="AJ442" s="405"/>
      <c r="AK442" s="398"/>
      <c r="AL442" s="87">
        <f t="shared" si="97"/>
        <v>13248.640000000001</v>
      </c>
      <c r="AM442" s="402"/>
      <c r="AN442" s="400">
        <f t="shared" si="93"/>
        <v>1954.3999999999978</v>
      </c>
      <c r="AO442" s="212">
        <f t="shared" si="98"/>
        <v>0.1475170281628905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17325</v>
      </c>
      <c r="AA443" s="398"/>
      <c r="AB443" s="398"/>
      <c r="AC443" s="87"/>
      <c r="AD443" s="405"/>
      <c r="AE443" s="404"/>
      <c r="AF443" s="87">
        <f t="shared" si="95"/>
        <v>16487.650000000001</v>
      </c>
      <c r="AG443" s="399"/>
      <c r="AH443" s="400">
        <f t="shared" si="87"/>
        <v>-837.34999999999854</v>
      </c>
      <c r="AI443" s="401">
        <f t="shared" si="96"/>
        <v>-4.8331890331890247E-2</v>
      </c>
      <c r="AJ443" s="405"/>
      <c r="AK443" s="398"/>
      <c r="AL443" s="87">
        <f t="shared" si="97"/>
        <v>16187.05</v>
      </c>
      <c r="AM443" s="402"/>
      <c r="AN443" s="400">
        <f t="shared" si="93"/>
        <v>300.60000000000218</v>
      </c>
      <c r="AO443" s="212">
        <f t="shared" si="98"/>
        <v>1.85704004126757E-2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5632</v>
      </c>
      <c r="AA444" s="398"/>
      <c r="AB444" s="398"/>
      <c r="AC444" s="87"/>
      <c r="AD444" s="405"/>
      <c r="AE444" s="404"/>
      <c r="AF444" s="87">
        <f t="shared" si="95"/>
        <v>7124.87</v>
      </c>
      <c r="AG444" s="399"/>
      <c r="AH444" s="400">
        <f t="shared" si="87"/>
        <v>1492.87</v>
      </c>
      <c r="AI444" s="97">
        <f t="shared" si="96"/>
        <v>0.26506924715909091</v>
      </c>
      <c r="AJ444" s="405"/>
      <c r="AK444" s="398"/>
      <c r="AL444" s="87">
        <f t="shared" si="97"/>
        <v>6346.66</v>
      </c>
      <c r="AM444" s="402"/>
      <c r="AN444" s="400">
        <f t="shared" si="93"/>
        <v>778.21</v>
      </c>
      <c r="AO444" s="212">
        <f t="shared" si="98"/>
        <v>0.12261725064837253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10450</v>
      </c>
      <c r="AA445" s="398"/>
      <c r="AB445" s="398"/>
      <c r="AC445" s="87"/>
      <c r="AD445" s="405"/>
      <c r="AE445" s="404"/>
      <c r="AF445" s="87">
        <f t="shared" si="95"/>
        <v>13083.48</v>
      </c>
      <c r="AG445" s="399"/>
      <c r="AH445" s="400">
        <f t="shared" si="87"/>
        <v>2633.4799999999996</v>
      </c>
      <c r="AI445" s="401">
        <f t="shared" si="96"/>
        <v>0.25200765550239229</v>
      </c>
      <c r="AJ445" s="405"/>
      <c r="AK445" s="398"/>
      <c r="AL445" s="87">
        <f t="shared" si="97"/>
        <v>10458.450000000001</v>
      </c>
      <c r="AM445" s="402"/>
      <c r="AN445" s="400">
        <f t="shared" si="93"/>
        <v>2625.0299999999988</v>
      </c>
      <c r="AO445" s="212">
        <f t="shared" si="98"/>
        <v>0.25099608450583011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19151</v>
      </c>
      <c r="AA446" s="398"/>
      <c r="AB446" s="404"/>
      <c r="AC446" s="87"/>
      <c r="AD446" s="405"/>
      <c r="AE446" s="404"/>
      <c r="AF446" s="87">
        <f t="shared" si="95"/>
        <v>24957.809999999998</v>
      </c>
      <c r="AG446" s="399"/>
      <c r="AH446" s="400">
        <f t="shared" si="87"/>
        <v>5806.8099999999977</v>
      </c>
      <c r="AI446" s="97">
        <f t="shared" si="96"/>
        <v>0.30321184272361745</v>
      </c>
      <c r="AJ446" s="405"/>
      <c r="AK446" s="398"/>
      <c r="AL446" s="87">
        <f t="shared" si="97"/>
        <v>18668.809999999998</v>
      </c>
      <c r="AM446" s="402"/>
      <c r="AN446" s="400">
        <f t="shared" si="93"/>
        <v>6289</v>
      </c>
      <c r="AO446" s="212">
        <f t="shared" si="98"/>
        <v>0.33687203415750661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28405.899133333332</v>
      </c>
      <c r="AA447" s="398"/>
      <c r="AB447" s="404"/>
      <c r="AC447" s="87"/>
      <c r="AD447" s="405"/>
      <c r="AE447" s="404"/>
      <c r="AF447" s="87">
        <f t="shared" si="95"/>
        <v>21100.409999999996</v>
      </c>
      <c r="AG447" s="399"/>
      <c r="AH447" s="400">
        <f t="shared" si="87"/>
        <v>-7305.4891333333362</v>
      </c>
      <c r="AI447" s="401">
        <f t="shared" si="96"/>
        <v>-0.25718211203392605</v>
      </c>
      <c r="AJ447" s="405"/>
      <c r="AK447" s="398"/>
      <c r="AL447" s="87">
        <f t="shared" si="97"/>
        <v>17195.950000000004</v>
      </c>
      <c r="AM447" s="402"/>
      <c r="AN447" s="400">
        <f t="shared" si="93"/>
        <v>3904.4599999999919</v>
      </c>
      <c r="AO447" s="212">
        <f t="shared" si="98"/>
        <v>0.22705695236378279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73765.092281756675</v>
      </c>
      <c r="AA448" s="398"/>
      <c r="AB448" s="404"/>
      <c r="AC448" s="87"/>
      <c r="AD448" s="405"/>
      <c r="AE448" s="404"/>
      <c r="AF448" s="87">
        <f t="shared" si="95"/>
        <v>72500.62</v>
      </c>
      <c r="AG448" s="399"/>
      <c r="AH448" s="400">
        <f t="shared" si="87"/>
        <v>-1264.4722817566799</v>
      </c>
      <c r="AI448" s="401">
        <f t="shared" si="96"/>
        <v>-1.7141878938168219E-2</v>
      </c>
      <c r="AJ448" s="405"/>
      <c r="AK448" s="398"/>
      <c r="AL448" s="87" cm="1">
        <f t="array" ref="AL448">+SUMPRODUCT(('Réel 2024'!$A$8:$A$501=$A448)*('Réel 2024'!$C$3:$AO$3=Z$2),'Réel 2024'!$C$8:$AO$501)</f>
        <v>74059.079999999871</v>
      </c>
      <c r="AM448" s="402"/>
      <c r="AN448" s="400">
        <f>AF448-AL448</f>
        <v>-1558.4599999998754</v>
      </c>
      <c r="AO448" s="212">
        <f>IF(AL448=0,0,AN448/AL448)</f>
        <v>-2.1043469619118658E-2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0.19198608320243499</v>
      </c>
      <c r="Y452" s="88"/>
      <c r="Z452" s="90">
        <f>+SUM(Z434:Z451)</f>
        <v>819482.64883039438</v>
      </c>
      <c r="AA452" s="89"/>
      <c r="AB452" s="88"/>
      <c r="AC452" s="90"/>
      <c r="AD452" s="91">
        <f>AF452/AF407</f>
        <v>0.18845350852038004</v>
      </c>
      <c r="AE452" s="88"/>
      <c r="AF452" s="90">
        <f>+SUM(AF434:AF451)</f>
        <v>872243.39000000013</v>
      </c>
      <c r="AG452" s="99"/>
      <c r="AH452" s="93">
        <f>+SUM(AH434:AH451)</f>
        <v>52760.741169605652</v>
      </c>
      <c r="AI452" s="89">
        <f>AH452/Z452</f>
        <v>6.4382987540869061E-2</v>
      </c>
      <c r="AJ452" s="91">
        <f>IF($AL$407=0,0,AL452/$AL$407)</f>
        <v>0.19751065618450017</v>
      </c>
      <c r="AK452" s="89"/>
      <c r="AL452" s="90">
        <f>+SUM(AL434:AL451)</f>
        <v>819225.94999999972</v>
      </c>
      <c r="AM452" s="100"/>
      <c r="AN452" s="93">
        <f>+SUM(AN434:AN451)</f>
        <v>53017.440000000213</v>
      </c>
      <c r="AO452" s="551">
        <f>IF(AL452=0,0,AN452/AL452)</f>
        <v>6.4716504646856257E-2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550000</v>
      </c>
      <c r="AA453" s="398"/>
      <c r="AB453" s="404"/>
      <c r="AC453" s="87"/>
      <c r="AD453" s="405"/>
      <c r="AE453" s="404"/>
      <c r="AF453" s="87">
        <f>SUMIFS(BV_Data_An_Cour!$P:$P,BV_Data_An_Cour!$V:$V,$V453)</f>
        <v>550000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550000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65263.77</v>
      </c>
      <c r="AA454" s="398"/>
      <c r="AB454" s="404"/>
      <c r="AC454" s="87"/>
      <c r="AD454" s="405"/>
      <c r="AE454" s="404"/>
      <c r="AF454" s="87">
        <f>SUMIFS(BV_Data_An_Cour!$P:$P,BV_Data_An_Cour!$V:$V,$V454)</f>
        <v>67813.440000000002</v>
      </c>
      <c r="AG454" s="399"/>
      <c r="AH454" s="400">
        <f t="shared" si="99"/>
        <v>2549.6700000000055</v>
      </c>
      <c r="AI454" s="401">
        <f t="shared" si="100"/>
        <v>3.906715778141541E-2</v>
      </c>
      <c r="AJ454" s="405"/>
      <c r="AK454" s="398"/>
      <c r="AL454" s="87" cm="1">
        <f t="array" ref="AL454">+SUMPRODUCT(('Réel 2024'!$A$8:$A$501=$A454)*('Réel 2024'!$C$3:$AO$3=Z$2),'Réel 2024'!$C$8:$AO$501)</f>
        <v>62910.39</v>
      </c>
      <c r="AM454" s="402"/>
      <c r="AN454" s="400">
        <f t="shared" si="101"/>
        <v>4903.0500000000029</v>
      </c>
      <c r="AO454" s="212">
        <f t="shared" si="102"/>
        <v>7.7937046646825797E-2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27970.25</v>
      </c>
      <c r="AA455" s="388"/>
      <c r="AB455" s="407"/>
      <c r="AC455" s="389"/>
      <c r="AD455" s="408"/>
      <c r="AE455" s="407"/>
      <c r="AF455" s="389">
        <f>SUMIFS(BV_Data_An_Cour!$P:$P,BV_Data_An_Cour!$V:$V,$V455)</f>
        <v>29062.920000000002</v>
      </c>
      <c r="AG455" s="390"/>
      <c r="AH455" s="391">
        <f t="shared" si="99"/>
        <v>1092.6700000000019</v>
      </c>
      <c r="AI455" s="409">
        <f t="shared" si="100"/>
        <v>3.9065435596750187E-2</v>
      </c>
      <c r="AJ455" s="408"/>
      <c r="AK455" s="388"/>
      <c r="AL455" s="389" cm="1">
        <f t="array" ref="AL455">+SUMPRODUCT(('Réel 2024'!$A$8:$A$501=$A455)*('Réel 2024'!$C$3:$AO$3=Z$2),'Réel 2024'!$C$8:$AO$501)</f>
        <v>26961.579999999962</v>
      </c>
      <c r="AM455" s="393"/>
      <c r="AN455" s="391">
        <f t="shared" si="101"/>
        <v>2101.3400000000402</v>
      </c>
      <c r="AO455" s="394">
        <f t="shared" si="102"/>
        <v>7.7938310736983638E-2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53394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53392.13</v>
      </c>
      <c r="AG457" s="390"/>
      <c r="AH457" s="391">
        <f t="shared" si="99"/>
        <v>-1.8700000000026193</v>
      </c>
      <c r="AI457" s="409">
        <f t="shared" si="100"/>
        <v>-3.5022661722339952E-5</v>
      </c>
      <c r="AJ457" s="408"/>
      <c r="AK457" s="388"/>
      <c r="AL457" s="389" cm="1">
        <f t="array" ref="AL457">+SUMPRODUCT(('Réel 2024'!$A$8:$A$501=$A457)*('Réel 2024'!$C$3:$AO$3=Z$2),'Réel 2024'!$C$8:$AO$501)</f>
        <v>49160.7</v>
      </c>
      <c r="AM457" s="393"/>
      <c r="AN457" s="391">
        <f t="shared" si="101"/>
        <v>4231.43</v>
      </c>
      <c r="AO457" s="394">
        <f t="shared" si="102"/>
        <v>8.6073428572009766E-2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55000</v>
      </c>
      <c r="AA458" s="244"/>
      <c r="AB458" s="237"/>
      <c r="AC458" s="87"/>
      <c r="AD458" s="405"/>
      <c r="AE458" s="404"/>
      <c r="AF458" s="87">
        <f>SUMIFS(BV_Data_An_Cour!$P:$P,BV_Data_An_Cour!$V:$V,$V458)</f>
        <v>62596.57</v>
      </c>
      <c r="AG458" s="399"/>
      <c r="AH458" s="400">
        <f t="shared" si="99"/>
        <v>7596.57</v>
      </c>
      <c r="AI458" s="401">
        <f t="shared" si="100"/>
        <v>0.13811945454545455</v>
      </c>
      <c r="AJ458" s="405"/>
      <c r="AK458" s="398"/>
      <c r="AL458" s="87" cm="1">
        <f t="array" ref="AL458">+SUMPRODUCT(('Réel 2024'!$A$8:$A$501=$A458)*('Réel 2024'!$C$3:$AO$3=Z$2),'Réel 2024'!$C$8:$AO$501)</f>
        <v>53073.859999999971</v>
      </c>
      <c r="AM458" s="402"/>
      <c r="AN458" s="400">
        <f t="shared" si="101"/>
        <v>9522.7100000000282</v>
      </c>
      <c r="AO458" s="212">
        <f t="shared" si="102"/>
        <v>0.17942373138113626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71954.666666666672</v>
      </c>
      <c r="AA459" s="398"/>
      <c r="AB459" s="404"/>
      <c r="AC459" s="87"/>
      <c r="AD459" s="405"/>
      <c r="AE459" s="404"/>
      <c r="AF459" s="87">
        <f>SUMIFS(BV_Data_An_Cour!$P:$P,BV_Data_An_Cour!$V:$V,$V459)</f>
        <v>69380.63</v>
      </c>
      <c r="AG459" s="399"/>
      <c r="AH459" s="400">
        <f t="shared" si="99"/>
        <v>-2574.0366666666669</v>
      </c>
      <c r="AI459" s="401">
        <f t="shared" si="100"/>
        <v>-3.5773033020790872E-2</v>
      </c>
      <c r="AJ459" s="405"/>
      <c r="AK459" s="398"/>
      <c r="AL459" s="87" cm="1">
        <f t="array" ref="AL459">+SUMPRODUCT(('Réel 2024'!$A$8:$A$501=$A459)*('Réel 2024'!$C$3:$AO$3=Z$2),'Réel 2024'!$C$8:$AO$501)</f>
        <v>69380.63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4766.666666666667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-774.76666666666688</v>
      </c>
      <c r="AI460" s="409">
        <f t="shared" si="100"/>
        <v>-0.16253846153846158</v>
      </c>
      <c r="AJ460" s="408"/>
      <c r="AK460" s="388"/>
      <c r="AL460" s="389" cm="1">
        <f t="array" ref="AL460">+SUMPRODUCT(('Réel 2024'!$A$8:$A$501=$A460)*('Réel 2024'!$C$3:$AO$3=Z$2),'Réel 2024'!$C$8:$AO$501)</f>
        <v>3957.29</v>
      </c>
      <c r="AM460" s="393"/>
      <c r="AN460" s="391">
        <f t="shared" si="101"/>
        <v>34.610000000000127</v>
      </c>
      <c r="AO460" s="394">
        <f t="shared" si="102"/>
        <v>8.7458841783139788E-3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2332.0000000000005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2865.3</v>
      </c>
      <c r="AG461" s="399"/>
      <c r="AH461" s="400">
        <f t="shared" si="99"/>
        <v>533.29999999999973</v>
      </c>
      <c r="AI461" s="418">
        <f t="shared" si="100"/>
        <v>0.22868782161234974</v>
      </c>
      <c r="AJ461" s="398"/>
      <c r="AK461" s="398"/>
      <c r="AL461" s="87" cm="1">
        <f t="array" ref="AL461">+SUMPRODUCT(('Réel 2024'!$A$8:$A$501=$A461)*('Réel 2024'!$C$3:$AO$3=Z$2),'Réel 2024'!$C$8:$AO$501)</f>
        <v>2713.8199999999952</v>
      </c>
      <c r="AM461" s="402"/>
      <c r="AN461" s="400">
        <f t="shared" si="101"/>
        <v>151.48000000000502</v>
      </c>
      <c r="AO461" s="212">
        <f t="shared" si="102"/>
        <v>5.5817998246016791E-2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0.19460968410176982</v>
      </c>
      <c r="Y466" s="88"/>
      <c r="Z466" s="90">
        <f>SUM(Z453:Z465)</f>
        <v>830681.35333333327</v>
      </c>
      <c r="AA466" s="89"/>
      <c r="AB466" s="88"/>
      <c r="AC466" s="90"/>
      <c r="AD466" s="91">
        <f>AF466/AF407</f>
        <v>0.18129330120815301</v>
      </c>
      <c r="AE466" s="88"/>
      <c r="AF466" s="90">
        <f>SUM(AF453:AF465)</f>
        <v>839102.89</v>
      </c>
      <c r="AG466" s="99"/>
      <c r="AH466" s="93">
        <f>SUM(AH453:AH465)</f>
        <v>8421.5366666666705</v>
      </c>
      <c r="AI466" s="89">
        <f>IF(Z466=0,0,AH466/Z466)</f>
        <v>1.0138107269259121E-2</v>
      </c>
      <c r="AJ466" s="91">
        <f>IF($AL$407=0,0,AL466/$AL$407)</f>
        <v>0.19725324468844704</v>
      </c>
      <c r="AK466" s="89"/>
      <c r="AL466" s="90">
        <f>SUM(AL453:AL465)</f>
        <v>818158.2699999999</v>
      </c>
      <c r="AM466" s="100"/>
      <c r="AN466" s="93">
        <f>SUM(AN453:AN465)</f>
        <v>20944.620000000075</v>
      </c>
      <c r="AO466" s="551">
        <f t="shared" ref="AO466:AO483" si="103">IF(AL466=0,0,AN466/AL466)</f>
        <v>2.559971678829339E-2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1.131292543408833</v>
      </c>
      <c r="Y468" s="88"/>
      <c r="Z468" s="90">
        <f>Z419+Z433+Z452+Z466</f>
        <v>4828863.6062084427</v>
      </c>
      <c r="AA468" s="89"/>
      <c r="AB468" s="88"/>
      <c r="AC468" s="90"/>
      <c r="AD468" s="91">
        <f>AF468/AF407</f>
        <v>1.0545714464090212</v>
      </c>
      <c r="AE468" s="88"/>
      <c r="AF468" s="90">
        <f>AF419+AF433+AF452+AF466</f>
        <v>4881007.42</v>
      </c>
      <c r="AG468" s="99"/>
      <c r="AH468" s="93">
        <f t="shared" si="104"/>
        <v>52143.813791557215</v>
      </c>
      <c r="AI468" s="89">
        <f>AH468/Z468</f>
        <v>1.0798361279974073E-2</v>
      </c>
      <c r="AJ468" s="91">
        <f>IF($AL$407=0,0,AL468/$AL$407)</f>
        <v>1.150529788916933</v>
      </c>
      <c r="AK468" s="89"/>
      <c r="AL468" s="90">
        <f>AL419+AL433+AL452+AL466</f>
        <v>4772116.4899999993</v>
      </c>
      <c r="AM468" s="100"/>
      <c r="AN468" s="93">
        <f t="shared" si="105"/>
        <v>108890.93000000063</v>
      </c>
      <c r="AO468" s="396">
        <f t="shared" si="103"/>
        <v>2.2818162596864991E-2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20402.420000000002</v>
      </c>
      <c r="AG469" s="241"/>
      <c r="AH469" s="400">
        <f t="shared" si="104"/>
        <v>20402.420000000002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176923.27999999997</v>
      </c>
      <c r="AM469" s="243"/>
      <c r="AN469" s="400">
        <f t="shared" si="105"/>
        <v>-156520.85999999996</v>
      </c>
      <c r="AO469" s="212">
        <f t="shared" si="103"/>
        <v>-0.88468210627793009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439804.97847272729</v>
      </c>
      <c r="AA470" s="244"/>
      <c r="AB470" s="237"/>
      <c r="AC470" s="87"/>
      <c r="AD470" s="246"/>
      <c r="AE470" s="237"/>
      <c r="AF470" s="87">
        <f t="shared" ref="AF470:AF476" si="107">+SUMIF($C:$C,$V470,L:L)</f>
        <v>417148.2</v>
      </c>
      <c r="AG470" s="245"/>
      <c r="AH470" s="400">
        <f t="shared" si="104"/>
        <v>-22656.778472727281</v>
      </c>
      <c r="AI470" s="97">
        <f>IF(Z470=0,0,AH470/Z470)</f>
        <v>-5.1515511605633744E-2</v>
      </c>
      <c r="AJ470" s="246"/>
      <c r="AK470" s="244"/>
      <c r="AL470" s="247">
        <f t="shared" ref="AL470:AL476" si="108">+SUMIF($C:$C,$V470,Q:Q)</f>
        <v>436840.59999999992</v>
      </c>
      <c r="AM470" s="248"/>
      <c r="AN470" s="400">
        <f t="shared" si="105"/>
        <v>-19692.399999999907</v>
      </c>
      <c r="AO470" s="212">
        <f t="shared" si="103"/>
        <v>-4.5079143284758587E-2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406819.60508727271</v>
      </c>
      <c r="AA471" s="244"/>
      <c r="AB471" s="237"/>
      <c r="AC471" s="87"/>
      <c r="AD471" s="246"/>
      <c r="AE471" s="237"/>
      <c r="AF471" s="87">
        <f t="shared" si="107"/>
        <v>380131.24</v>
      </c>
      <c r="AG471" s="245"/>
      <c r="AH471" s="400">
        <f t="shared" si="104"/>
        <v>-26688.365087272716</v>
      </c>
      <c r="AI471" s="97">
        <f t="shared" ref="AI471:AI480" si="109">IF(AH471=0,0,AH471/Z471)</f>
        <v>-6.5602455618006442E-2</v>
      </c>
      <c r="AJ471" s="246"/>
      <c r="AK471" s="244"/>
      <c r="AL471" s="247">
        <f t="shared" si="108"/>
        <v>381369.73000000004</v>
      </c>
      <c r="AM471" s="248"/>
      <c r="AN471" s="400">
        <f t="shared" si="105"/>
        <v>-1238.4900000000489</v>
      </c>
      <c r="AO471" s="212">
        <f t="shared" si="103"/>
        <v>-3.2474785033412296E-3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26625</v>
      </c>
      <c r="AA474" s="244"/>
      <c r="AB474" s="237"/>
      <c r="AC474" s="87"/>
      <c r="AD474" s="246"/>
      <c r="AE474" s="237"/>
      <c r="AF474" s="87">
        <f t="shared" si="107"/>
        <v>14775</v>
      </c>
      <c r="AG474" s="245"/>
      <c r="AH474" s="400">
        <f t="shared" si="104"/>
        <v>-11850</v>
      </c>
      <c r="AI474" s="97">
        <f t="shared" si="109"/>
        <v>-0.44507042253521129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-1275</v>
      </c>
      <c r="AO474" s="212">
        <f t="shared" si="103"/>
        <v>-7.9439252336448593E-2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9514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-8639</v>
      </c>
      <c r="AI475" s="97">
        <f t="shared" si="109"/>
        <v>-0.90803027117931467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230897.61369818184</v>
      </c>
      <c r="AA477" s="244"/>
      <c r="AB477" s="237"/>
      <c r="AC477" s="87"/>
      <c r="AD477" s="246"/>
      <c r="AE477" s="237"/>
      <c r="AF477" s="87">
        <f>-SUMIFS(BV_Data_An_Cour!$P:$P,BV_Data_An_Cour!$V:$V,$V477)</f>
        <v>235707.14</v>
      </c>
      <c r="AG477" s="245"/>
      <c r="AH477" s="400">
        <f t="shared" si="104"/>
        <v>4809.5263018181722</v>
      </c>
      <c r="AI477" s="97">
        <f t="shared" si="109"/>
        <v>2.082969254114922E-2</v>
      </c>
      <c r="AJ477" s="246"/>
      <c r="AK477" s="244"/>
      <c r="AL477" s="247" cm="1">
        <f t="array" ref="AL477">+SUMPRODUCT(('Réel 2024'!$A$8:$A$501=$A477)*('Réel 2024'!$C$3:$AO$3=Z$2),'Réel 2024'!$C$8:$AO$501)</f>
        <v>213807.91</v>
      </c>
      <c r="AM477" s="248"/>
      <c r="AN477" s="400">
        <f t="shared" si="110"/>
        <v>21899.23000000001</v>
      </c>
      <c r="AO477" s="212">
        <f t="shared" si="103"/>
        <v>0.10242478868064334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254053.09999999998</v>
      </c>
      <c r="AA480" s="244"/>
      <c r="AB480" s="237"/>
      <c r="AC480" s="87"/>
      <c r="AD480" s="246"/>
      <c r="AE480" s="237"/>
      <c r="AF480" s="87">
        <f>+SUMIF($C:$C,$V480,L:L)</f>
        <v>237405</v>
      </c>
      <c r="AG480" s="245"/>
      <c r="AH480" s="400">
        <f t="shared" si="104"/>
        <v>-16648.099999999977</v>
      </c>
      <c r="AI480" s="97">
        <f t="shared" si="109"/>
        <v>-6.5530001405217961E-2</v>
      </c>
      <c r="AJ480" s="246"/>
      <c r="AK480" s="244"/>
      <c r="AL480" s="247" cm="1">
        <f t="array" ref="AL480">+SUMPRODUCT(('Réel 2024'!$A$8:$A$501=$A480)*('Réel 2024'!$C$3:$AO$3=Z$2),'Réel 2024'!$C$8:$AO$501)</f>
        <v>235025</v>
      </c>
      <c r="AM480" s="248"/>
      <c r="AN480" s="400">
        <f t="shared" si="110"/>
        <v>2380</v>
      </c>
      <c r="AO480" s="212">
        <f t="shared" si="103"/>
        <v>1.0126582278481013E-2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0.32042424723127355</v>
      </c>
      <c r="Y481" s="103"/>
      <c r="Z481" s="90">
        <f>SUM(Z469:Z480)</f>
        <v>1367714.297258182</v>
      </c>
      <c r="AA481" s="89"/>
      <c r="AB481" s="103"/>
      <c r="AC481" s="90"/>
      <c r="AD481" s="89">
        <f>AF481/+AF407</f>
        <v>0.28226520064015542</v>
      </c>
      <c r="AE481" s="103"/>
      <c r="AF481" s="90">
        <f>SUM(AF469:AF480)</f>
        <v>1306444</v>
      </c>
      <c r="AG481" s="99"/>
      <c r="AH481" s="93">
        <f t="shared" si="104"/>
        <v>-61270.297258181963</v>
      </c>
      <c r="AI481" s="89">
        <f>AH481/Z481</f>
        <v>-4.4797584832599026E-2</v>
      </c>
      <c r="AJ481" s="109"/>
      <c r="AK481" s="110"/>
      <c r="AL481" s="90">
        <f>SUM(AL469:AL480)</f>
        <v>1486091.5199999998</v>
      </c>
      <c r="AM481" s="111"/>
      <c r="AN481" s="93">
        <f t="shared" si="110"/>
        <v>-179647.51999999979</v>
      </c>
      <c r="AO481" s="551">
        <f t="shared" si="103"/>
        <v>-0.12088590613853971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1.8057906633846467E-2</v>
      </c>
      <c r="Z483" s="428">
        <f>Z407-Z468+Z481</f>
        <v>807298.87834001845</v>
      </c>
      <c r="AA483" s="426"/>
      <c r="AB483" s="427"/>
      <c r="AC483" s="428"/>
      <c r="AD483" s="426" t="s">
        <v>247</v>
      </c>
      <c r="AE483" s="427">
        <f>AF483/AF406</f>
        <v>2.5417047262601477E-2</v>
      </c>
      <c r="AF483" s="215">
        <f>AF407-AF468+AF481</f>
        <v>1053864.0199999968</v>
      </c>
      <c r="AG483" s="429"/>
      <c r="AH483" s="215">
        <f>AF483-Z483</f>
        <v>246565.14165997831</v>
      </c>
      <c r="AI483" s="745">
        <f>AH483/Z483</f>
        <v>0.30541989872074354</v>
      </c>
      <c r="AJ483" s="430" t="s">
        <v>247</v>
      </c>
      <c r="AK483" s="427">
        <f>IF($AL$406=0,0,AL483/$AL$406)</f>
        <v>2.0335893948150548E-2</v>
      </c>
      <c r="AL483" s="215">
        <f>AL407-AL468+AL481</f>
        <v>861730.72999999509</v>
      </c>
      <c r="AM483" s="216"/>
      <c r="AN483" s="215">
        <f t="shared" si="110"/>
        <v>192133.29000000167</v>
      </c>
      <c r="AO483" s="431">
        <f t="shared" si="103"/>
        <v>0.22296209629196206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2.5943788553983504E-2</v>
      </c>
      <c r="Z488" s="1123">
        <f>Z489+Z415</f>
        <v>1159846.0344381668</v>
      </c>
      <c r="AA488" s="1120"/>
      <c r="AB488" s="1121"/>
      <c r="AC488" s="1122"/>
      <c r="AD488" s="1120" t="s">
        <v>247</v>
      </c>
      <c r="AE488" s="1121">
        <f>AF488/AF406</f>
        <v>3.267968021870387E-2</v>
      </c>
      <c r="AF488" s="1123">
        <f>AF489+AF415</f>
        <v>1354993.7099999967</v>
      </c>
      <c r="AG488" s="1124"/>
      <c r="AH488" s="1123">
        <f t="shared" ref="AH488" si="114">AF488-Z488</f>
        <v>195147.67556182994</v>
      </c>
      <c r="AI488" s="1185">
        <f>AH488/Z488</f>
        <v>0.16825308684730739</v>
      </c>
      <c r="AJ488" s="1120" t="s">
        <v>247</v>
      </c>
      <c r="AK488" s="1121">
        <f>IF($AL$406=0,0,AL488/$AL$406)</f>
        <v>3.0180964483857438E-2</v>
      </c>
      <c r="AL488" s="1123">
        <f>AL489+AL415</f>
        <v>1278914.2499999951</v>
      </c>
      <c r="AM488" s="1125"/>
      <c r="AN488" s="1123">
        <f t="shared" ref="AN488" si="115">AF488-AL488</f>
        <v>76079.460000001593</v>
      </c>
      <c r="AO488" s="1126">
        <f t="shared" ref="AO488" si="116">IF(AL488=0,0,AN488/AL488)</f>
        <v>5.9487537964333329E-2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1.8057906633846467E-2</v>
      </c>
      <c r="Z489" s="436">
        <f>Z483</f>
        <v>807298.87834001845</v>
      </c>
      <c r="AA489" s="434"/>
      <c r="AB489" s="435"/>
      <c r="AC489" s="436"/>
      <c r="AD489" s="434" t="s">
        <v>247</v>
      </c>
      <c r="AE489" s="435">
        <f>AF489/AF406</f>
        <v>2.5417047262601477E-2</v>
      </c>
      <c r="AF489" s="436">
        <f>AF483</f>
        <v>1053864.0199999968</v>
      </c>
      <c r="AG489" s="437"/>
      <c r="AH489" s="215">
        <f>AF489-Z489</f>
        <v>246565.14165997831</v>
      </c>
      <c r="AI489" s="745">
        <f>AH489/Z489</f>
        <v>0.30541989872074354</v>
      </c>
      <c r="AJ489" s="434" t="s">
        <v>247</v>
      </c>
      <c r="AK489" s="435">
        <f>IF($AL$406=0,0,AL489/$AL$406)</f>
        <v>2.0335893948150548E-2</v>
      </c>
      <c r="AL489" s="438">
        <f>AL483</f>
        <v>861730.72999999509</v>
      </c>
      <c r="AM489" s="439"/>
      <c r="AN489" s="440">
        <f>AF489-AL489</f>
        <v>192133.29000000167</v>
      </c>
      <c r="AO489" s="441">
        <f>IF(AL489=0,0,AN489/AL489)</f>
        <v>0.22296209629196206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212300</v>
      </c>
      <c r="AA491" s="398"/>
      <c r="AB491" s="404"/>
      <c r="AC491" s="87"/>
      <c r="AD491" s="398"/>
      <c r="AE491" s="404"/>
      <c r="AF491" s="87">
        <f>SUMIFS(BV_Data_An_Cour!$P:$P,BV_Data_An_Cour!$V:$V,$V491)</f>
        <v>203360.41</v>
      </c>
      <c r="AG491" s="398"/>
      <c r="AH491" s="400">
        <f t="shared" ref="AH491:AH498" si="117">AF491-Z491</f>
        <v>-8939.5899999999965</v>
      </c>
      <c r="AI491" s="97">
        <f t="shared" ref="AI491:AI497" si="118">IF(Z491=0,0,AH491/Z491)</f>
        <v>-4.2108290155440396E-2</v>
      </c>
      <c r="AJ491" s="398"/>
      <c r="AK491" s="398"/>
      <c r="AL491" s="87" cm="1">
        <f t="array" ref="AL491">+SUMPRODUCT(('Réel 2024'!$A$8:$A$501=$A491)*('Réel 2024'!$C$3:$AO$3=Z$2),'Réel 2024'!$C$8:$AO$501)</f>
        <v>230670</v>
      </c>
      <c r="AM491" s="402"/>
      <c r="AN491" s="400">
        <f t="shared" ref="AN491:AN498" si="119">AF491-AL491</f>
        <v>-27309.589999999997</v>
      </c>
      <c r="AO491" s="212">
        <f t="shared" ref="AO491:AO498" si="120">IF(AL491=0,0,AN491/AL491)</f>
        <v>-0.11839246542680018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-28447.540983606559</v>
      </c>
      <c r="AA496" s="398"/>
      <c r="AB496" s="398"/>
      <c r="AC496" s="400"/>
      <c r="AD496" s="405"/>
      <c r="AE496" s="404"/>
      <c r="AF496" s="87">
        <f>SUMIFS(BV_Data_An_Cour!$P:$P,BV_Data_An_Cour!$V:$V,$V496)</f>
        <v>-28447.54</v>
      </c>
      <c r="AG496" s="399"/>
      <c r="AH496" s="400">
        <f t="shared" si="117"/>
        <v>9.8360655829310417E-4</v>
      </c>
      <c r="AI496" s="401">
        <f t="shared" si="118"/>
        <v>-3.4576154011340607E-8</v>
      </c>
      <c r="AJ496" s="405"/>
      <c r="AK496" s="398"/>
      <c r="AL496" s="87" cm="1">
        <f t="array" ref="AL496">+SUMPRODUCT(('Réel 2024'!$A$8:$A$501=$A496)*('Réel 2024'!$C$3:$AO$3=Z$2),'Réel 2024'!$C$8:$AO$501)</f>
        <v>-64518.409999999996</v>
      </c>
      <c r="AM496" s="445"/>
      <c r="AN496" s="400">
        <f t="shared" si="119"/>
        <v>36070.869999999995</v>
      </c>
      <c r="AO496" s="212">
        <f t="shared" si="120"/>
        <v>-0.55907871877189774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1.3945438961219773E-2</v>
      </c>
      <c r="Z498" s="428">
        <f>Z489-Z491-Z492-Z493-Z497-Z496-Z494-Z495</f>
        <v>623446.41932362504</v>
      </c>
      <c r="AA498" s="426"/>
      <c r="AB498" s="427"/>
      <c r="AC498" s="428"/>
      <c r="AD498" s="426" t="s">
        <v>247</v>
      </c>
      <c r="AE498" s="427">
        <f>AF498/AF406</f>
        <v>2.1198506161229327E-2</v>
      </c>
      <c r="AF498" s="215">
        <f>AF489-AF491-AF492-AF493-AF497-AF496-AF494-AF495</f>
        <v>878951.14999999676</v>
      </c>
      <c r="AG498" s="429"/>
      <c r="AH498" s="215">
        <f t="shared" si="117"/>
        <v>255504.73067637172</v>
      </c>
      <c r="AI498" s="745">
        <f>AH498/Z498</f>
        <v>0.40982628620045319</v>
      </c>
      <c r="AJ498" s="430" t="s">
        <v>247</v>
      </c>
      <c r="AK498" s="427">
        <f>IF($AL$406=0,0,AL498/$AL$406)</f>
        <v>1.6414899841840087E-2</v>
      </c>
      <c r="AL498" s="215">
        <f>AL489-AL491-AL492-AL493-AL497-AL496-AL494-AL495</f>
        <v>695579.13999999512</v>
      </c>
      <c r="AM498" s="216"/>
      <c r="AN498" s="215">
        <f t="shared" si="119"/>
        <v>183372.01000000164</v>
      </c>
      <c r="AO498" s="446">
        <f t="shared" si="120"/>
        <v>0.26362494136900499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228527.27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650423.87999999675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1.4098262862004531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0.25999996700613093</v>
      </c>
      <c r="AG508" s="79"/>
      <c r="AH508" s="711">
        <f>AF498/Z498</f>
        <v>1.4098262862004531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67" activePane="bottomLeft" state="frozen"/>
      <selection activeCell="K1" sqref="A1:K1048576"/>
      <selection pane="bottomLeft" activeCell="A2" sqref="A2:K779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 t="s">
        <v>2997</v>
      </c>
      <c r="I2" s="664">
        <v>-87245</v>
      </c>
      <c r="J2" s="664">
        <v>0</v>
      </c>
      <c r="K2" s="664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7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 t="s">
        <v>2997</v>
      </c>
      <c r="I3" s="663">
        <v>-69697</v>
      </c>
      <c r="J3" s="663">
        <v>0</v>
      </c>
      <c r="K3" s="663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 t="s">
        <v>2997</v>
      </c>
      <c r="I4" s="664">
        <v>130263</v>
      </c>
      <c r="J4" s="664">
        <v>0</v>
      </c>
      <c r="K4" s="664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 t="s">
        <v>2997</v>
      </c>
      <c r="I5" s="710">
        <v>163411</v>
      </c>
      <c r="J5" s="710">
        <v>0</v>
      </c>
      <c r="K5" s="71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7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 t="s">
        <v>2997</v>
      </c>
      <c r="I6" s="663">
        <v>237592</v>
      </c>
      <c r="J6" s="663">
        <v>0</v>
      </c>
      <c r="K6" s="663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 t="s">
        <v>2997</v>
      </c>
      <c r="I7" s="664">
        <v>66606</v>
      </c>
      <c r="J7" s="664">
        <v>0</v>
      </c>
      <c r="K7" s="664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 t="s">
        <v>2997</v>
      </c>
      <c r="I8" s="656">
        <v>32318</v>
      </c>
      <c r="J8" s="656">
        <v>0</v>
      </c>
      <c r="K8" s="656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 t="s">
        <v>2997</v>
      </c>
      <c r="I9" s="656">
        <v>46722</v>
      </c>
      <c r="J9" s="656">
        <v>0</v>
      </c>
      <c r="K9" s="656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7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 t="s">
        <v>2997</v>
      </c>
      <c r="I10" s="663">
        <v>1142</v>
      </c>
      <c r="J10" s="663">
        <v>0</v>
      </c>
      <c r="K10" s="663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1142</v>
      </c>
      <c r="O10" s="151">
        <f>+IF(OR($Q10=Parametres!$G$2,$Q10=Parametres!$G$3),J10,D10)</f>
        <v>0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 t="s">
        <v>2997</v>
      </c>
      <c r="I11" s="663">
        <v>0</v>
      </c>
      <c r="J11" s="663">
        <v>88792</v>
      </c>
      <c r="K11" s="663">
        <v>88792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0</v>
      </c>
      <c r="O11" s="151">
        <f>+IF(OR($Q11=Parametres!$G$2,$Q11=Parametres!$G$3),J11,D11)</f>
        <v>88792</v>
      </c>
      <c r="P11" s="151">
        <f>+IF(OR($Q11=Parametres!$G$2,$Q11=Parametres!$G$3),K11,E11)</f>
        <v>88792</v>
      </c>
      <c r="Q11" s="150" t="str">
        <f t="shared" si="2"/>
        <v>1-Mémo</v>
      </c>
      <c r="R11" s="149" t="str">
        <f t="shared" si="3"/>
        <v>110</v>
      </c>
      <c r="S11" s="150" t="str">
        <f t="shared" si="4"/>
        <v>_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1244</v>
      </c>
      <c r="B12" s="708" t="s">
        <v>496</v>
      </c>
      <c r="C12" s="709"/>
      <c r="D12" s="709"/>
      <c r="E12" s="709"/>
      <c r="F12" s="708" t="s">
        <v>1</v>
      </c>
      <c r="G12" s="708" t="s">
        <v>2447</v>
      </c>
      <c r="H12" s="709" t="s">
        <v>2997</v>
      </c>
      <c r="I12" s="710">
        <v>0.04</v>
      </c>
      <c r="J12" s="710">
        <v>0</v>
      </c>
      <c r="K12" s="710">
        <v>0.04</v>
      </c>
      <c r="L12" s="149" t="str">
        <f t="shared" si="0"/>
        <v>120A</v>
      </c>
      <c r="M12" s="150" t="str">
        <f t="shared" si="1"/>
        <v>JANV.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1245</v>
      </c>
      <c r="B13" s="708" t="s">
        <v>497</v>
      </c>
      <c r="C13" s="710"/>
      <c r="D13" s="710"/>
      <c r="E13" s="710"/>
      <c r="F13" s="708" t="s">
        <v>1</v>
      </c>
      <c r="G13" s="708" t="s">
        <v>2447</v>
      </c>
      <c r="H13" s="664" t="s">
        <v>2997</v>
      </c>
      <c r="I13" s="663">
        <v>0.04</v>
      </c>
      <c r="J13" s="663">
        <v>0</v>
      </c>
      <c r="K13" s="663">
        <v>0.04</v>
      </c>
      <c r="L13" s="149" t="str">
        <f t="shared" si="0"/>
        <v>120B</v>
      </c>
      <c r="M13" s="150" t="str">
        <f t="shared" si="1"/>
        <v>FEV. NB VENTE NEUF BMW AUTO</v>
      </c>
      <c r="N13" s="151">
        <f>+IF(OR($Q13=Parametres!$G$2,$Q13=Parametres!$G$3),I13,C13)</f>
        <v>0.04</v>
      </c>
      <c r="O13" s="151">
        <f>+IF(OR($Q13=Parametres!$G$2,$Q13=Parametres!$G$3),J13,D13)</f>
        <v>0</v>
      </c>
      <c r="P13" s="151">
        <f>+IF(OR($Q13=Parametres!$G$2,$Q13=Parametres!$G$3),K13,E13)</f>
        <v>0.04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1246</v>
      </c>
      <c r="B14" s="708" t="s">
        <v>498</v>
      </c>
      <c r="C14" s="710"/>
      <c r="D14" s="710"/>
      <c r="E14" s="710"/>
      <c r="F14" s="708" t="s">
        <v>1</v>
      </c>
      <c r="G14" s="708" t="s">
        <v>2447</v>
      </c>
      <c r="H14" s="664" t="s">
        <v>2997</v>
      </c>
      <c r="I14" s="663">
        <v>7.0000000000000007E-2</v>
      </c>
      <c r="J14" s="663">
        <v>0</v>
      </c>
      <c r="K14" s="663">
        <v>7.0000000000000007E-2</v>
      </c>
      <c r="L14" s="149" t="str">
        <f t="shared" si="0"/>
        <v>120C</v>
      </c>
      <c r="M14" s="150" t="str">
        <f t="shared" si="1"/>
        <v>MARS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1247</v>
      </c>
      <c r="B15" s="708" t="s">
        <v>988</v>
      </c>
      <c r="C15" s="709"/>
      <c r="D15" s="709"/>
      <c r="E15" s="709"/>
      <c r="F15" s="708" t="s">
        <v>1</v>
      </c>
      <c r="G15" s="708" t="s">
        <v>2447</v>
      </c>
      <c r="H15" s="709" t="s">
        <v>2997</v>
      </c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120D</v>
      </c>
      <c r="M15" s="150" t="str">
        <f t="shared" si="1"/>
        <v>AVRIL NB VENTE NEUF BMW AUTO</v>
      </c>
      <c r="N15" s="151">
        <f>+IF(OR($Q15=Parametres!$G$2,$Q15=Parametres!$G$3),I15,C15)</f>
        <v>7.0000000000000007E-2</v>
      </c>
      <c r="O15" s="151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1248</v>
      </c>
      <c r="B16" s="708" t="s">
        <v>499</v>
      </c>
      <c r="C16" s="709"/>
      <c r="D16" s="709"/>
      <c r="E16" s="709"/>
      <c r="F16" s="708" t="s">
        <v>1</v>
      </c>
      <c r="G16" s="708" t="s">
        <v>2447</v>
      </c>
      <c r="H16" s="709" t="s">
        <v>2997</v>
      </c>
      <c r="I16" s="710">
        <v>0.13</v>
      </c>
      <c r="J16" s="710">
        <v>0</v>
      </c>
      <c r="K16" s="710">
        <v>0.13</v>
      </c>
      <c r="L16" s="149" t="str">
        <f t="shared" si="0"/>
        <v>120E</v>
      </c>
      <c r="M16" s="150" t="str">
        <f t="shared" si="1"/>
        <v>MAI NB VENTE NEUF BMW AUTO</v>
      </c>
      <c r="N16" s="151">
        <f>+IF(OR($Q16=Parametres!$G$2,$Q16=Parametres!$G$3),I16,C16)</f>
        <v>0.13</v>
      </c>
      <c r="O16" s="498">
        <f>+IF(OR($Q16=Parametres!$G$2,$Q16=Parametres!$G$3),J16,D16)</f>
        <v>0</v>
      </c>
      <c r="P16" s="151">
        <f>+IF(OR($Q16=Parametres!$G$2,$Q16=Parametres!$G$3),K16,E16)</f>
        <v>0.13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1249</v>
      </c>
      <c r="B17" s="708" t="s">
        <v>500</v>
      </c>
      <c r="C17" s="710"/>
      <c r="D17" s="710"/>
      <c r="E17" s="710"/>
      <c r="F17" s="708" t="s">
        <v>1</v>
      </c>
      <c r="G17" s="708" t="s">
        <v>2447</v>
      </c>
      <c r="H17" s="664" t="s">
        <v>2997</v>
      </c>
      <c r="I17" s="663">
        <v>0.05</v>
      </c>
      <c r="J17" s="663">
        <v>0</v>
      </c>
      <c r="K17" s="663">
        <v>0.05</v>
      </c>
      <c r="L17" s="149" t="str">
        <f t="shared" si="0"/>
        <v>120F</v>
      </c>
      <c r="M17" s="150" t="str">
        <f t="shared" si="1"/>
        <v>JUIN NB VENTE NEUF BMW AUTO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1250</v>
      </c>
      <c r="B18" s="708" t="s">
        <v>501</v>
      </c>
      <c r="C18" s="710"/>
      <c r="D18" s="710"/>
      <c r="E18" s="710"/>
      <c r="F18" s="708" t="s">
        <v>1</v>
      </c>
      <c r="G18" s="708" t="s">
        <v>2447</v>
      </c>
      <c r="H18" s="657" t="s">
        <v>2997</v>
      </c>
      <c r="I18" s="656">
        <v>0.08</v>
      </c>
      <c r="J18" s="656">
        <v>0</v>
      </c>
      <c r="K18" s="656">
        <v>0.08</v>
      </c>
      <c r="L18" s="149" t="str">
        <f t="shared" si="0"/>
        <v>120G</v>
      </c>
      <c r="M18" s="150" t="str">
        <f t="shared" si="1"/>
        <v>JUIL.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120G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1251</v>
      </c>
      <c r="B19" s="708" t="s">
        <v>502</v>
      </c>
      <c r="C19" s="710"/>
      <c r="D19" s="710"/>
      <c r="E19" s="710"/>
      <c r="F19" s="708" t="s">
        <v>1</v>
      </c>
      <c r="G19" s="708" t="s">
        <v>2447</v>
      </c>
      <c r="H19" s="664" t="s">
        <v>2997</v>
      </c>
      <c r="I19" s="663">
        <v>7.0000000000000007E-2</v>
      </c>
      <c r="J19" s="663">
        <v>0</v>
      </c>
      <c r="K19" s="663">
        <v>7.0000000000000007E-2</v>
      </c>
      <c r="L19" s="149" t="str">
        <f t="shared" si="0"/>
        <v>120H</v>
      </c>
      <c r="M19" s="150" t="str">
        <f t="shared" si="1"/>
        <v>AOUT NB VENTE NEUF BMW AUTO</v>
      </c>
      <c r="N19" s="151">
        <f>+IF(OR($Q19=Parametres!$G$2,$Q19=Parametres!$G$3),I19,C19)</f>
        <v>7.0000000000000007E-2</v>
      </c>
      <c r="O19" s="151">
        <f>+IF(OR($Q19=Parametres!$G$2,$Q19=Parametres!$G$3),J19,D19)</f>
        <v>0</v>
      </c>
      <c r="P19" s="151">
        <f>+IF(OR($Q19=Parametres!$G$2,$Q19=Parametres!$G$3),K19,E19)</f>
        <v>7.0000000000000007E-2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120H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1252</v>
      </c>
      <c r="B20" s="708" t="s">
        <v>503</v>
      </c>
      <c r="C20" s="710"/>
      <c r="D20" s="710"/>
      <c r="E20" s="710"/>
      <c r="F20" s="708" t="s">
        <v>1</v>
      </c>
      <c r="G20" s="708" t="s">
        <v>2447</v>
      </c>
      <c r="H20" s="600" t="s">
        <v>2997</v>
      </c>
      <c r="I20" s="601">
        <v>0.12</v>
      </c>
      <c r="J20" s="601">
        <v>0</v>
      </c>
      <c r="K20" s="601">
        <v>0.12</v>
      </c>
      <c r="L20" s="149" t="str">
        <f t="shared" si="0"/>
        <v>120Z</v>
      </c>
      <c r="M20" s="150" t="str">
        <f t="shared" si="1"/>
        <v>SEPT. NB VENTE NEUF BMW AUTO</v>
      </c>
      <c r="N20" s="151">
        <f>+IF(OR($Q20=Parametres!$G$2,$Q20=Parametres!$G$3),I20,C20)</f>
        <v>0.12</v>
      </c>
      <c r="O20" s="151">
        <f>+IF(OR($Q20=Parametres!$G$2,$Q20=Parametres!$G$3),J20,D20)</f>
        <v>0</v>
      </c>
      <c r="P20" s="151">
        <f>+IF(OR($Q20=Parametres!$G$2,$Q20=Parametres!$G$3),K20,E20)</f>
        <v>0.12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120Z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1253</v>
      </c>
      <c r="B21" s="708" t="s">
        <v>504</v>
      </c>
      <c r="C21" s="710"/>
      <c r="D21" s="710"/>
      <c r="E21" s="710"/>
      <c r="F21" s="708" t="s">
        <v>1</v>
      </c>
      <c r="G21" s="708" t="s">
        <v>2447</v>
      </c>
      <c r="H21" s="664" t="s">
        <v>2997</v>
      </c>
      <c r="I21" s="663">
        <v>0.06</v>
      </c>
      <c r="J21" s="663">
        <v>0</v>
      </c>
      <c r="K21" s="663">
        <v>0.06</v>
      </c>
      <c r="L21" s="149" t="str">
        <f t="shared" si="0"/>
        <v>121</v>
      </c>
      <c r="M21" s="150" t="str">
        <f t="shared" si="1"/>
        <v>OCT. NB VENTE NEUF BMW AUTO</v>
      </c>
      <c r="N21" s="151">
        <f>+IF(OR($Q21=Parametres!$G$2,$Q21=Parametres!$G$3),I21,C21)</f>
        <v>0.06</v>
      </c>
      <c r="O21" s="151">
        <f>+IF(OR($Q21=Parametres!$G$2,$Q21=Parametres!$G$3),J21,D21)</f>
        <v>0</v>
      </c>
      <c r="P21" s="151">
        <f>+IF(OR($Q21=Parametres!$G$2,$Q21=Parametres!$G$3),K21,E21)</f>
        <v>0.06</v>
      </c>
      <c r="Q21" s="150" t="str">
        <f t="shared" si="2"/>
        <v>1-Mémo</v>
      </c>
      <c r="R21" s="149" t="str">
        <f t="shared" si="3"/>
        <v>120</v>
      </c>
      <c r="S21" s="150" t="str">
        <f t="shared" si="4"/>
        <v>_</v>
      </c>
      <c r="T21" s="152" t="str">
        <f>+VLOOKUP($L21,Data_Validation!$A:$D,1,0)</f>
        <v>121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1254</v>
      </c>
      <c r="B22" s="708" t="s">
        <v>505</v>
      </c>
      <c r="C22" s="709"/>
      <c r="D22" s="709"/>
      <c r="E22" s="709"/>
      <c r="F22" s="708" t="s">
        <v>1</v>
      </c>
      <c r="G22" s="708" t="s">
        <v>2447</v>
      </c>
      <c r="H22" s="709" t="s">
        <v>2997</v>
      </c>
      <c r="I22" s="710">
        <v>0</v>
      </c>
      <c r="J22" s="710">
        <v>0.01</v>
      </c>
      <c r="K22" s="710">
        <v>0.01</v>
      </c>
      <c r="L22" s="149" t="str">
        <f t="shared" si="0"/>
        <v>121A</v>
      </c>
      <c r="M22" s="150" t="str">
        <f t="shared" si="1"/>
        <v>NOV. NB VENTE NEUF BMW AUTO</v>
      </c>
      <c r="N22" s="151">
        <f>+IF(OR($Q22=Parametres!$G$2,$Q22=Parametres!$G$3),I22,C22)</f>
        <v>0</v>
      </c>
      <c r="O22" s="151">
        <f>+IF(OR($Q22=Parametres!$G$2,$Q22=Parametres!$G$3),J22,D22)</f>
        <v>0.01</v>
      </c>
      <c r="P22" s="151">
        <f>+IF(OR($Q22=Parametres!$G$2,$Q22=Parametres!$G$3),K22,E22)</f>
        <v>0.01</v>
      </c>
      <c r="Q22" s="150" t="str">
        <f t="shared" si="2"/>
        <v>1-Mémo</v>
      </c>
      <c r="R22" s="149" t="str">
        <f t="shared" si="3"/>
        <v>120</v>
      </c>
      <c r="S22" s="150" t="str">
        <f t="shared" si="4"/>
        <v>_</v>
      </c>
      <c r="T22" s="152" t="str">
        <f>+VLOOKUP($L22,Data_Validation!$A:$D,1,0)</f>
        <v>121A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1255</v>
      </c>
      <c r="B23" s="708" t="s">
        <v>506</v>
      </c>
      <c r="C23" s="710"/>
      <c r="D23" s="710"/>
      <c r="E23" s="710"/>
      <c r="F23" s="708" t="s">
        <v>1</v>
      </c>
      <c r="G23" s="708" t="s">
        <v>2449</v>
      </c>
      <c r="H23" s="664" t="s">
        <v>2997</v>
      </c>
      <c r="I23" s="663">
        <v>0.21</v>
      </c>
      <c r="J23" s="663">
        <v>0</v>
      </c>
      <c r="K23" s="663">
        <v>0.21</v>
      </c>
      <c r="L23" s="149" t="str">
        <f t="shared" si="0"/>
        <v>121E</v>
      </c>
      <c r="M23" s="150" t="str">
        <f t="shared" si="1"/>
        <v>OCT. NB VENTE NEUF BMW CAMION</v>
      </c>
      <c r="N23" s="151">
        <f>+IF(OR($Q23=Parametres!$G$2,$Q23=Parametres!$G$3),I23,C23)</f>
        <v>0.21</v>
      </c>
      <c r="O23" s="151">
        <f>+IF(OR($Q23=Parametres!$G$2,$Q23=Parametres!$G$3),J23,D23)</f>
        <v>0</v>
      </c>
      <c r="P23" s="151">
        <f>+IF(OR($Q23=Parametres!$G$2,$Q23=Parametres!$G$3),K23,E23)</f>
        <v>0.21</v>
      </c>
      <c r="Q23" s="150" t="str">
        <f t="shared" si="2"/>
        <v>1-Mémo</v>
      </c>
      <c r="R23" s="149" t="str">
        <f t="shared" si="3"/>
        <v>126</v>
      </c>
      <c r="S23" s="150" t="str">
        <f t="shared" si="4"/>
        <v>_</v>
      </c>
      <c r="T23" s="152" t="str">
        <f>+VLOOKUP($L23,Data_Validation!$A:$D,1,0)</f>
        <v>121E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1256</v>
      </c>
      <c r="B24" s="708" t="s">
        <v>507</v>
      </c>
      <c r="C24" s="710"/>
      <c r="D24" s="710"/>
      <c r="E24" s="710"/>
      <c r="F24" s="708" t="s">
        <v>1</v>
      </c>
      <c r="G24" s="708" t="s">
        <v>2449</v>
      </c>
      <c r="H24" s="664" t="s">
        <v>2997</v>
      </c>
      <c r="I24" s="664">
        <v>0</v>
      </c>
      <c r="J24" s="664">
        <v>0.02</v>
      </c>
      <c r="K24" s="664">
        <v>0.02</v>
      </c>
      <c r="L24" s="149" t="str">
        <f t="shared" si="0"/>
        <v>121H</v>
      </c>
      <c r="M24" s="150" t="str">
        <f t="shared" si="1"/>
        <v>NOV. NB VENTE NEUF BMW CAMION</v>
      </c>
      <c r="N24" s="151">
        <f>+IF(OR($Q24=Parametres!$G$2,$Q24=Parametres!$G$3),I24,C24)</f>
        <v>0</v>
      </c>
      <c r="O24" s="151">
        <f>+IF(OR($Q24=Parametres!$G$2,$Q24=Parametres!$G$3),J24,D24)</f>
        <v>0.02</v>
      </c>
      <c r="P24" s="151">
        <f>+IF(OR($Q24=Parametres!$G$2,$Q24=Parametres!$G$3),K24,E24)</f>
        <v>0.02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121H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1997</v>
      </c>
      <c r="B25" s="708" t="s">
        <v>1998</v>
      </c>
      <c r="C25" s="710"/>
      <c r="D25" s="710"/>
      <c r="E25" s="710"/>
      <c r="F25" s="708" t="s">
        <v>1</v>
      </c>
      <c r="G25" s="708" t="s">
        <v>2467</v>
      </c>
      <c r="H25" s="657" t="s">
        <v>2997</v>
      </c>
      <c r="I25" s="656">
        <v>0.05</v>
      </c>
      <c r="J25" s="656">
        <v>0</v>
      </c>
      <c r="K25" s="656">
        <v>0.05</v>
      </c>
      <c r="L25" s="149" t="str">
        <f t="shared" si="0"/>
        <v>122A</v>
      </c>
      <c r="M25" s="150" t="str">
        <f t="shared" si="1"/>
        <v>JANV. NB VENTE NEUF BMW I</v>
      </c>
      <c r="N25" s="151">
        <f>+IF(OR($Q25=Parametres!$G$2,$Q25=Parametres!$G$3),I25,C25)</f>
        <v>0.05</v>
      </c>
      <c r="O25" s="151">
        <f>+IF(OR($Q25=Parametres!$G$2,$Q25=Parametres!$G$3),J25,D25)</f>
        <v>0</v>
      </c>
      <c r="P25" s="151">
        <f>+IF(OR($Q25=Parametres!$G$2,$Q25=Parametres!$G$3),K25,E25)</f>
        <v>0.05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122A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1257</v>
      </c>
      <c r="B26" s="708" t="s">
        <v>1258</v>
      </c>
      <c r="C26" s="710"/>
      <c r="D26" s="710"/>
      <c r="E26" s="710"/>
      <c r="F26" s="708" t="s">
        <v>1</v>
      </c>
      <c r="G26" s="708" t="s">
        <v>2467</v>
      </c>
      <c r="H26" s="664" t="s">
        <v>2997</v>
      </c>
      <c r="I26" s="663">
        <v>0.01</v>
      </c>
      <c r="J26" s="663">
        <v>0</v>
      </c>
      <c r="K26" s="663">
        <v>0.01</v>
      </c>
      <c r="L26" s="149" t="str">
        <f t="shared" si="0"/>
        <v>122C</v>
      </c>
      <c r="M26" s="150" t="str">
        <f t="shared" si="1"/>
        <v>MARS NB VENTE NEUF BMW I</v>
      </c>
      <c r="N26" s="151">
        <f>+IF(OR($Q26=Parametres!$G$2,$Q26=Parametres!$G$3),I26,C26)</f>
        <v>0.01</v>
      </c>
      <c r="O26" s="151">
        <f>+IF(OR($Q26=Parametres!$G$2,$Q26=Parametres!$G$3),J26,D26)</f>
        <v>0</v>
      </c>
      <c r="P26" s="151">
        <f>+IF(OR($Q26=Parametres!$G$2,$Q26=Parametres!$G$3),K26,E26)</f>
        <v>0.01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989</v>
      </c>
      <c r="B27" s="708" t="s">
        <v>990</v>
      </c>
      <c r="C27" s="710"/>
      <c r="D27" s="710"/>
      <c r="E27" s="710"/>
      <c r="F27" s="708" t="s">
        <v>1</v>
      </c>
      <c r="G27" s="708" t="s">
        <v>2467</v>
      </c>
      <c r="H27" s="664" t="s">
        <v>2997</v>
      </c>
      <c r="I27" s="663">
        <v>0.06</v>
      </c>
      <c r="J27" s="663">
        <v>0</v>
      </c>
      <c r="K27" s="663">
        <v>0.06</v>
      </c>
      <c r="L27" s="149" t="str">
        <f t="shared" si="0"/>
        <v>122D</v>
      </c>
      <c r="M27" s="150" t="str">
        <f t="shared" si="1"/>
        <v>AVRIL NB VENTE NEUF BMW I</v>
      </c>
      <c r="N27" s="151">
        <f>+IF(OR($Q27=Parametres!$G$2,$Q27=Parametres!$G$3),I27,C27)</f>
        <v>0.06</v>
      </c>
      <c r="O27" s="151">
        <f>+IF(OR($Q27=Parametres!$G$2,$Q27=Parametres!$G$3),J27,D27)</f>
        <v>0</v>
      </c>
      <c r="P27" s="151">
        <f>+IF(OR($Q27=Parametres!$G$2,$Q27=Parametres!$G$3),K27,E27)</f>
        <v>0.06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2047</v>
      </c>
      <c r="B28" s="662" t="s">
        <v>2048</v>
      </c>
      <c r="C28" s="663"/>
      <c r="D28" s="663"/>
      <c r="E28" s="663"/>
      <c r="F28" s="662" t="s">
        <v>1</v>
      </c>
      <c r="G28" s="662" t="s">
        <v>2467</v>
      </c>
      <c r="H28" s="657" t="s">
        <v>2997</v>
      </c>
      <c r="I28" s="656">
        <v>0.04</v>
      </c>
      <c r="J28" s="656">
        <v>0</v>
      </c>
      <c r="K28" s="656">
        <v>0.04</v>
      </c>
      <c r="L28" s="149" t="str">
        <f t="shared" si="0"/>
        <v>122E</v>
      </c>
      <c r="M28" s="150" t="str">
        <f t="shared" si="1"/>
        <v>MAI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2076</v>
      </c>
      <c r="B29" s="708" t="s">
        <v>2077</v>
      </c>
      <c r="C29" s="709"/>
      <c r="D29" s="709"/>
      <c r="E29" s="709"/>
      <c r="F29" s="708" t="s">
        <v>1</v>
      </c>
      <c r="G29" s="708" t="s">
        <v>2467</v>
      </c>
      <c r="H29" s="709" t="s">
        <v>2997</v>
      </c>
      <c r="I29" s="710">
        <v>0.06</v>
      </c>
      <c r="J29" s="710">
        <v>0</v>
      </c>
      <c r="K29" s="710">
        <v>0.06</v>
      </c>
      <c r="L29" s="149" t="str">
        <f t="shared" si="0"/>
        <v>122F</v>
      </c>
      <c r="M29" s="150" t="str">
        <f t="shared" si="1"/>
        <v>JUIN NB VENTE NEUF BMW I</v>
      </c>
      <c r="N29" s="151">
        <f>+IF(OR($Q29=Parametres!$G$2,$Q29=Parametres!$G$3),I29,C29)</f>
        <v>0.06</v>
      </c>
      <c r="O29" s="498">
        <f>+IF(OR($Q29=Parametres!$G$2,$Q29=Parametres!$G$3),J29,D29)</f>
        <v>0</v>
      </c>
      <c r="P29" s="151">
        <f>+IF(OR($Q29=Parametres!$G$2,$Q29=Parametres!$G$3),K29,E29)</f>
        <v>0.06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2113</v>
      </c>
      <c r="B30" s="708" t="s">
        <v>2114</v>
      </c>
      <c r="C30" s="709"/>
      <c r="D30" s="709"/>
      <c r="E30" s="709"/>
      <c r="F30" s="708" t="s">
        <v>1</v>
      </c>
      <c r="G30" s="708" t="s">
        <v>2467</v>
      </c>
      <c r="H30" s="709" t="s">
        <v>2997</v>
      </c>
      <c r="I30" s="710">
        <v>0.03</v>
      </c>
      <c r="J30" s="710">
        <v>0</v>
      </c>
      <c r="K30" s="710">
        <v>0.03</v>
      </c>
      <c r="L30" s="149" t="str">
        <f t="shared" si="0"/>
        <v>122G</v>
      </c>
      <c r="M30" s="150" t="str">
        <f t="shared" si="1"/>
        <v>JUIL. NB VENTE NEUF BMW I</v>
      </c>
      <c r="N30" s="151">
        <f>+IF(OR($Q30=Parametres!$G$2,$Q30=Parametres!$G$3),I30,C30)</f>
        <v>0.03</v>
      </c>
      <c r="O30" s="497">
        <f>+IF(OR($Q30=Parametres!$G$2,$Q30=Parametres!$G$3),J30,D30)</f>
        <v>0</v>
      </c>
      <c r="P30" s="151">
        <f>+IF(OR($Q30=Parametres!$G$2,$Q30=Parametres!$G$3),K30,E30)</f>
        <v>0.03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122G</v>
      </c>
      <c r="U30" s="152">
        <f>+VLOOKUP($L30,Data_Validation!$A:$D,3,0)</f>
        <v>0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2412</v>
      </c>
      <c r="B31" s="708" t="s">
        <v>2413</v>
      </c>
      <c r="C31" s="710"/>
      <c r="D31" s="710"/>
      <c r="E31" s="710"/>
      <c r="F31" s="708" t="s">
        <v>1</v>
      </c>
      <c r="G31" s="708" t="s">
        <v>2467</v>
      </c>
      <c r="H31" s="602" t="s">
        <v>2997</v>
      </c>
      <c r="I31" s="601">
        <v>0.03</v>
      </c>
      <c r="J31" s="601">
        <v>0</v>
      </c>
      <c r="K31" s="601">
        <v>0.03</v>
      </c>
      <c r="L31" s="149" t="str">
        <f t="shared" si="0"/>
        <v>122H</v>
      </c>
      <c r="M31" s="150" t="str">
        <f t="shared" si="1"/>
        <v>AOUT NB VENTE NEUF BMW I</v>
      </c>
      <c r="N31" s="151">
        <f>+IF(OR($Q31=Parametres!$G$2,$Q31=Parametres!$G$3),I31,C31)</f>
        <v>0.03</v>
      </c>
      <c r="O31" s="151">
        <f>+IF(OR($Q31=Parametres!$G$2,$Q31=Parametres!$G$3),J31,D31)</f>
        <v>0</v>
      </c>
      <c r="P31" s="151">
        <f>+IF(OR($Q31=Parametres!$G$2,$Q31=Parametres!$G$3),K31,E31)</f>
        <v>0.03</v>
      </c>
      <c r="Q31" s="150" t="str">
        <f t="shared" si="2"/>
        <v>1-Mémo</v>
      </c>
      <c r="R31" s="149" t="str">
        <f t="shared" si="3"/>
        <v>122</v>
      </c>
      <c r="S31" s="150" t="str">
        <f t="shared" si="4"/>
        <v>_</v>
      </c>
      <c r="T31" s="152" t="str">
        <f>+VLOOKUP($L31,Data_Validation!$A:$D,1,0)</f>
        <v>122H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2165</v>
      </c>
      <c r="B32" s="708" t="s">
        <v>2166</v>
      </c>
      <c r="C32" s="710"/>
      <c r="D32" s="710"/>
      <c r="E32" s="710"/>
      <c r="F32" s="708" t="s">
        <v>1</v>
      </c>
      <c r="G32" s="708" t="s">
        <v>2467</v>
      </c>
      <c r="H32" s="657" t="s">
        <v>2997</v>
      </c>
      <c r="I32" s="656">
        <v>0.01</v>
      </c>
      <c r="J32" s="656">
        <v>0</v>
      </c>
      <c r="K32" s="656">
        <v>0.01</v>
      </c>
      <c r="L32" s="149" t="str">
        <f t="shared" si="0"/>
        <v>122Z</v>
      </c>
      <c r="M32" s="150" t="str">
        <f t="shared" si="1"/>
        <v>SEPT. NB VENTE NEUF BMW I</v>
      </c>
      <c r="N32" s="151">
        <f>+IF(OR($Q32=Parametres!$G$2,$Q32=Parametres!$G$3),I32,C32)</f>
        <v>0.01</v>
      </c>
      <c r="O32" s="151">
        <f>+IF(OR($Q32=Parametres!$G$2,$Q32=Parametres!$G$3),J32,D32)</f>
        <v>0</v>
      </c>
      <c r="P32" s="151">
        <f>+IF(OR($Q32=Parametres!$G$2,$Q32=Parametres!$G$3),K32,E32)</f>
        <v>0.01</v>
      </c>
      <c r="Q32" s="150" t="str">
        <f t="shared" si="2"/>
        <v>1-Mémo</v>
      </c>
      <c r="R32" s="149" t="str">
        <f t="shared" si="3"/>
        <v>122</v>
      </c>
      <c r="S32" s="150" t="str">
        <f t="shared" si="4"/>
        <v>_</v>
      </c>
      <c r="T32" s="152" t="str">
        <f>+VLOOKUP($L32,Data_Validation!$A:$D,1,0)</f>
        <v>122Z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2187</v>
      </c>
      <c r="B33" s="708" t="s">
        <v>2188</v>
      </c>
      <c r="C33" s="710"/>
      <c r="D33" s="710"/>
      <c r="E33" s="710"/>
      <c r="F33" s="708" t="s">
        <v>1</v>
      </c>
      <c r="G33" s="708" t="s">
        <v>2467</v>
      </c>
      <c r="H33" s="664" t="s">
        <v>2997</v>
      </c>
      <c r="I33" s="663">
        <v>0.02</v>
      </c>
      <c r="J33" s="663">
        <v>0</v>
      </c>
      <c r="K33" s="663">
        <v>0.02</v>
      </c>
      <c r="L33" s="149" t="str">
        <f t="shared" si="0"/>
        <v>123</v>
      </c>
      <c r="M33" s="150" t="str">
        <f t="shared" si="1"/>
        <v>OCT. NB VENTE NEUF BMW I</v>
      </c>
      <c r="N33" s="151">
        <f>+IF(OR($Q33=Parametres!$G$2,$Q33=Parametres!$G$3),I33,C33)</f>
        <v>0.02</v>
      </c>
      <c r="O33" s="151">
        <f>+IF(OR($Q33=Parametres!$G$2,$Q33=Parametres!$G$3),J33,D33)</f>
        <v>0</v>
      </c>
      <c r="P33" s="151">
        <f>+IF(OR($Q33=Parametres!$G$2,$Q33=Parametres!$G$3),K33,E33)</f>
        <v>0.02</v>
      </c>
      <c r="Q33" s="150" t="str">
        <f t="shared" si="2"/>
        <v>1-Mémo</v>
      </c>
      <c r="R33" s="149" t="str">
        <f t="shared" si="3"/>
        <v>122</v>
      </c>
      <c r="S33" s="150" t="str">
        <f t="shared" si="4"/>
        <v>_</v>
      </c>
      <c r="T33" s="152" t="str">
        <f>+VLOOKUP($L33,Data_Validation!$A:$D,1,0)</f>
        <v>123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1259</v>
      </c>
      <c r="B34" s="708" t="s">
        <v>509</v>
      </c>
      <c r="C34" s="710"/>
      <c r="D34" s="710"/>
      <c r="E34" s="710"/>
      <c r="F34" s="708" t="s">
        <v>1</v>
      </c>
      <c r="G34" s="708" t="s">
        <v>2448</v>
      </c>
      <c r="H34" s="664" t="s">
        <v>2997</v>
      </c>
      <c r="I34" s="663">
        <v>0.13</v>
      </c>
      <c r="J34" s="663">
        <v>0</v>
      </c>
      <c r="K34" s="663">
        <v>0.13</v>
      </c>
      <c r="L34" s="149" t="str">
        <f t="shared" si="0"/>
        <v>124A</v>
      </c>
      <c r="M34" s="150" t="str">
        <f t="shared" si="1"/>
        <v>JANV. NB VENTE USAGE DETAIL</v>
      </c>
      <c r="N34" s="151">
        <f>+IF(OR($Q34=Parametres!$G$2,$Q34=Parametres!$G$3),I34,C34)</f>
        <v>0.13</v>
      </c>
      <c r="O34" s="151">
        <f>+IF(OR($Q34=Parametres!$G$2,$Q34=Parametres!$G$3),J34,D34)</f>
        <v>0</v>
      </c>
      <c r="P34" s="151">
        <f>+IF(OR($Q34=Parametres!$G$2,$Q34=Parametres!$G$3),K34,E34)</f>
        <v>0.13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1260</v>
      </c>
      <c r="B35" s="708" t="s">
        <v>510</v>
      </c>
      <c r="C35" s="710"/>
      <c r="D35" s="710"/>
      <c r="E35" s="710"/>
      <c r="F35" s="708" t="s">
        <v>1</v>
      </c>
      <c r="G35" s="708" t="s">
        <v>2448</v>
      </c>
      <c r="H35" s="657" t="s">
        <v>2997</v>
      </c>
      <c r="I35" s="656">
        <v>0.13</v>
      </c>
      <c r="J35" s="656">
        <v>0</v>
      </c>
      <c r="K35" s="656">
        <v>0.13</v>
      </c>
      <c r="L35" s="149" t="str">
        <f t="shared" si="0"/>
        <v>124B</v>
      </c>
      <c r="M35" s="150" t="str">
        <f t="shared" si="1"/>
        <v>FEV. NB VENTE USAGE DETAIL</v>
      </c>
      <c r="N35" s="151">
        <f>+IF(OR($Q35=Parametres!$G$2,$Q35=Parametres!$G$3),I35,C35)</f>
        <v>0.13</v>
      </c>
      <c r="O35" s="151">
        <f>+IF(OR($Q35=Parametres!$G$2,$Q35=Parametres!$G$3),J35,D35)</f>
        <v>0</v>
      </c>
      <c r="P35" s="151">
        <f>+IF(OR($Q35=Parametres!$G$2,$Q35=Parametres!$G$3),K35,E35)</f>
        <v>0.13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1261</v>
      </c>
      <c r="B36" s="708" t="s">
        <v>511</v>
      </c>
      <c r="C36" s="710"/>
      <c r="D36" s="710"/>
      <c r="E36" s="710"/>
      <c r="F36" s="708" t="s">
        <v>1</v>
      </c>
      <c r="G36" s="708" t="s">
        <v>2448</v>
      </c>
      <c r="H36" s="664" t="s">
        <v>2997</v>
      </c>
      <c r="I36" s="663">
        <v>0.18</v>
      </c>
      <c r="J36" s="663">
        <v>0</v>
      </c>
      <c r="K36" s="663">
        <v>0.18</v>
      </c>
      <c r="L36" s="149" t="str">
        <f t="shared" si="0"/>
        <v>124C</v>
      </c>
      <c r="M36" s="150" t="str">
        <f t="shared" si="1"/>
        <v>MARS NB VENTE USAGE DETAIL</v>
      </c>
      <c r="N36" s="151">
        <f>+IF(OR($Q36=Parametres!$G$2,$Q36=Parametres!$G$3),I36,C36)</f>
        <v>0.18</v>
      </c>
      <c r="O36" s="151">
        <f>+IF(OR($Q36=Parametres!$G$2,$Q36=Parametres!$G$3),J36,D36)</f>
        <v>0</v>
      </c>
      <c r="P36" s="151">
        <f>+IF(OR($Q36=Parametres!$G$2,$Q36=Parametres!$G$3),K36,E36)</f>
        <v>0.18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1262</v>
      </c>
      <c r="B37" s="708" t="s">
        <v>512</v>
      </c>
      <c r="C37" s="710"/>
      <c r="D37" s="710"/>
      <c r="E37" s="710"/>
      <c r="F37" s="708" t="s">
        <v>1</v>
      </c>
      <c r="G37" s="708" t="s">
        <v>2448</v>
      </c>
      <c r="H37" s="657" t="s">
        <v>2997</v>
      </c>
      <c r="I37" s="656">
        <v>0.22</v>
      </c>
      <c r="J37" s="656">
        <v>0</v>
      </c>
      <c r="K37" s="656">
        <v>0.22</v>
      </c>
      <c r="L37" s="149" t="str">
        <f t="shared" si="0"/>
        <v>124D</v>
      </c>
      <c r="M37" s="150" t="str">
        <f t="shared" si="1"/>
        <v>AVRIL NB VENTE USAGE DETAIL</v>
      </c>
      <c r="N37" s="151">
        <f>+IF(OR($Q37=Parametres!$G$2,$Q37=Parametres!$G$3),I37,C37)</f>
        <v>0.22</v>
      </c>
      <c r="O37" s="151">
        <f>+IF(OR($Q37=Parametres!$G$2,$Q37=Parametres!$G$3),J37,D37)</f>
        <v>0</v>
      </c>
      <c r="P37" s="151">
        <f>+IF(OR($Q37=Parametres!$G$2,$Q37=Parametres!$G$3),K37,E37)</f>
        <v>0.22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08" t="s">
        <v>1263</v>
      </c>
      <c r="B38" s="708" t="s">
        <v>513</v>
      </c>
      <c r="C38" s="710"/>
      <c r="D38" s="710"/>
      <c r="E38" s="710"/>
      <c r="F38" s="708" t="s">
        <v>1</v>
      </c>
      <c r="G38" s="708" t="s">
        <v>2448</v>
      </c>
      <c r="H38" s="709" t="s">
        <v>2997</v>
      </c>
      <c r="I38" s="709">
        <v>0.15</v>
      </c>
      <c r="J38" s="709">
        <v>0</v>
      </c>
      <c r="K38" s="709">
        <v>0.15</v>
      </c>
      <c r="L38" s="149" t="str">
        <f t="shared" si="0"/>
        <v>124E</v>
      </c>
      <c r="M38" s="150" t="str">
        <f t="shared" si="1"/>
        <v>MAI NB VENTE USAGE DETAIL</v>
      </c>
      <c r="N38" s="151">
        <f>+IF(OR($Q38=Parametres!$G$2,$Q38=Parametres!$G$3),I38,C38)</f>
        <v>0.15</v>
      </c>
      <c r="O38" s="151">
        <f>+IF(OR($Q38=Parametres!$G$2,$Q38=Parametres!$G$3),J38,D38)</f>
        <v>0</v>
      </c>
      <c r="P38" s="151">
        <f>+IF(OR($Q38=Parametres!$G$2,$Q38=Parametres!$G$3),K38,E38)</f>
        <v>0.15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1264</v>
      </c>
      <c r="B39" s="708" t="s">
        <v>514</v>
      </c>
      <c r="C39" s="710"/>
      <c r="D39" s="710"/>
      <c r="E39" s="710"/>
      <c r="F39" s="708" t="s">
        <v>1</v>
      </c>
      <c r="G39" s="708" t="s">
        <v>2448</v>
      </c>
      <c r="H39" s="664" t="s">
        <v>2997</v>
      </c>
      <c r="I39" s="663">
        <v>0.25</v>
      </c>
      <c r="J39" s="663">
        <v>0</v>
      </c>
      <c r="K39" s="663">
        <v>0.25</v>
      </c>
      <c r="L39" s="149" t="str">
        <f t="shared" si="0"/>
        <v>124F</v>
      </c>
      <c r="M39" s="150" t="str">
        <f t="shared" si="1"/>
        <v>JUIN NB VENTE USAGE DETAIL</v>
      </c>
      <c r="N39" s="151">
        <f>+IF(OR($Q39=Parametres!$G$2,$Q39=Parametres!$G$3),I39,C39)</f>
        <v>0.25</v>
      </c>
      <c r="O39" s="497">
        <f>+IF(OR($Q39=Parametres!$G$2,$Q39=Parametres!$G$3),J39,D39)</f>
        <v>0</v>
      </c>
      <c r="P39" s="151">
        <f>+IF(OR($Q39=Parametres!$G$2,$Q39=Parametres!$G$3),K39,E39)</f>
        <v>0.25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124F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1265</v>
      </c>
      <c r="B40" s="708" t="s">
        <v>515</v>
      </c>
      <c r="C40" s="710"/>
      <c r="D40" s="710"/>
      <c r="E40" s="710"/>
      <c r="F40" s="708" t="s">
        <v>1</v>
      </c>
      <c r="G40" s="708" t="s">
        <v>2448</v>
      </c>
      <c r="H40" s="664" t="s">
        <v>2997</v>
      </c>
      <c r="I40" s="664">
        <v>0.15</v>
      </c>
      <c r="J40" s="664">
        <v>0</v>
      </c>
      <c r="K40" s="664">
        <v>0.15</v>
      </c>
      <c r="L40" s="149" t="str">
        <f t="shared" si="0"/>
        <v>124G</v>
      </c>
      <c r="M40" s="150" t="str">
        <f t="shared" si="1"/>
        <v>JUIL. NB VENTE UDAGE DETAIL</v>
      </c>
      <c r="N40" s="151">
        <f>+IF(OR($Q40=Parametres!$G$2,$Q40=Parametres!$G$3),I40,C40)</f>
        <v>0.15</v>
      </c>
      <c r="O40" s="497">
        <f>+IF(OR($Q40=Parametres!$G$2,$Q40=Parametres!$G$3),J40,D40)</f>
        <v>0</v>
      </c>
      <c r="P40" s="151">
        <f>+IF(OR($Q40=Parametres!$G$2,$Q40=Parametres!$G$3),K40,E40)</f>
        <v>0.15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124G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1266</v>
      </c>
      <c r="B41" s="708" t="s">
        <v>516</v>
      </c>
      <c r="C41" s="710"/>
      <c r="D41" s="710"/>
      <c r="E41" s="710"/>
      <c r="F41" s="708" t="s">
        <v>1</v>
      </c>
      <c r="G41" s="708" t="s">
        <v>2448</v>
      </c>
      <c r="H41" s="657" t="s">
        <v>2997</v>
      </c>
      <c r="I41" s="656">
        <v>0.19</v>
      </c>
      <c r="J41" s="656">
        <v>0</v>
      </c>
      <c r="K41" s="656">
        <v>0.19</v>
      </c>
      <c r="L41" s="149" t="str">
        <f t="shared" si="0"/>
        <v>124H</v>
      </c>
      <c r="M41" s="150" t="str">
        <f t="shared" si="1"/>
        <v>AOUT NB VENTE USAGE DETAIL</v>
      </c>
      <c r="N41" s="151">
        <f>+IF(OR($Q41=Parametres!$G$2,$Q41=Parametres!$G$3),I41,C41)</f>
        <v>0.19</v>
      </c>
      <c r="O41" s="497">
        <f>+IF(OR($Q41=Parametres!$G$2,$Q41=Parametres!$G$3),J41,D41)</f>
        <v>0</v>
      </c>
      <c r="P41" s="151">
        <f>+IF(OR($Q41=Parametres!$G$2,$Q41=Parametres!$G$3),K41,E41)</f>
        <v>0.19</v>
      </c>
      <c r="Q41" s="150" t="str">
        <f t="shared" si="2"/>
        <v>1-Mémo</v>
      </c>
      <c r="R41" s="149" t="str">
        <f t="shared" si="3"/>
        <v>124</v>
      </c>
      <c r="S41" s="150" t="str">
        <f t="shared" si="4"/>
        <v>_</v>
      </c>
      <c r="T41" s="152" t="str">
        <f>+VLOOKUP($L41,Data_Validation!$A:$D,1,0)</f>
        <v>124H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1267</v>
      </c>
      <c r="B42" s="708" t="s">
        <v>517</v>
      </c>
      <c r="C42" s="710"/>
      <c r="D42" s="710"/>
      <c r="E42" s="710"/>
      <c r="F42" s="708" t="s">
        <v>1</v>
      </c>
      <c r="G42" s="708" t="s">
        <v>2448</v>
      </c>
      <c r="H42" s="600" t="s">
        <v>2997</v>
      </c>
      <c r="I42" s="153">
        <v>0.1</v>
      </c>
      <c r="J42" s="153">
        <v>0</v>
      </c>
      <c r="K42" s="153">
        <v>0.1</v>
      </c>
      <c r="L42" s="149" t="str">
        <f t="shared" si="0"/>
        <v>124Z</v>
      </c>
      <c r="M42" s="150" t="str">
        <f t="shared" si="1"/>
        <v>SEPT. NB VENTE USAGE DETAIL</v>
      </c>
      <c r="N42" s="151">
        <f>+IF(OR($Q42=Parametres!$G$2,$Q42=Parametres!$G$3),I42,C42)</f>
        <v>0.1</v>
      </c>
      <c r="O42" s="151">
        <f>+IF(OR($Q42=Parametres!$G$2,$Q42=Parametres!$G$3),J42,D42)</f>
        <v>0</v>
      </c>
      <c r="P42" s="151">
        <f>+IF(OR($Q42=Parametres!$G$2,$Q42=Parametres!$G$3),K42,E42)</f>
        <v>0.1</v>
      </c>
      <c r="Q42" s="150" t="str">
        <f t="shared" si="2"/>
        <v>1-Mémo</v>
      </c>
      <c r="R42" s="149" t="str">
        <f t="shared" si="3"/>
        <v>124</v>
      </c>
      <c r="S42" s="150" t="str">
        <f t="shared" si="4"/>
        <v>_</v>
      </c>
      <c r="T42" s="152" t="str">
        <f>+VLOOKUP($L42,Data_Validation!$A:$D,1,0)</f>
        <v>124Z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1268</v>
      </c>
      <c r="B43" s="708" t="s">
        <v>518</v>
      </c>
      <c r="C43" s="710"/>
      <c r="D43" s="710"/>
      <c r="E43" s="710"/>
      <c r="F43" s="708" t="s">
        <v>1</v>
      </c>
      <c r="G43" s="708" t="s">
        <v>2448</v>
      </c>
      <c r="H43" s="664" t="s">
        <v>2997</v>
      </c>
      <c r="I43" s="664">
        <v>0.14000000000000001</v>
      </c>
      <c r="J43" s="664">
        <v>0</v>
      </c>
      <c r="K43" s="664">
        <v>0.14000000000000001</v>
      </c>
      <c r="L43" s="149" t="str">
        <f t="shared" si="0"/>
        <v>125</v>
      </c>
      <c r="M43" s="150" t="str">
        <f t="shared" si="1"/>
        <v>OCT. NB VENTE USAGE DETAIL</v>
      </c>
      <c r="N43" s="151">
        <f>+IF(OR($Q43=Parametres!$G$2,$Q43=Parametres!$G$3),I43,C43)</f>
        <v>0.14000000000000001</v>
      </c>
      <c r="O43" s="151">
        <f>+IF(OR($Q43=Parametres!$G$2,$Q43=Parametres!$G$3),J43,D43)</f>
        <v>0</v>
      </c>
      <c r="P43" s="151">
        <f>+IF(OR($Q43=Parametres!$G$2,$Q43=Parametres!$G$3),K43,E43)</f>
        <v>0.14000000000000001</v>
      </c>
      <c r="Q43" s="150" t="str">
        <f t="shared" si="2"/>
        <v>1-Mémo</v>
      </c>
      <c r="R43" s="149" t="str">
        <f t="shared" si="3"/>
        <v>124</v>
      </c>
      <c r="S43" s="150" t="str">
        <f t="shared" si="4"/>
        <v>_</v>
      </c>
      <c r="T43" s="152" t="str">
        <f>+VLOOKUP($L43,Data_Validation!$A:$D,1,0)</f>
        <v>125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1269</v>
      </c>
      <c r="B44" s="708" t="s">
        <v>519</v>
      </c>
      <c r="C44" s="710"/>
      <c r="D44" s="710"/>
      <c r="E44" s="710"/>
      <c r="F44" s="708" t="s">
        <v>1</v>
      </c>
      <c r="G44" s="708" t="s">
        <v>2448</v>
      </c>
      <c r="H44" s="664" t="s">
        <v>2997</v>
      </c>
      <c r="I44" s="664">
        <v>0</v>
      </c>
      <c r="J44" s="664">
        <v>0.18</v>
      </c>
      <c r="K44" s="664">
        <v>0.18</v>
      </c>
      <c r="L44" s="149" t="str">
        <f t="shared" si="0"/>
        <v>125A</v>
      </c>
      <c r="M44" s="150" t="str">
        <f t="shared" si="1"/>
        <v>NOV. NB VENTE USAGE DETAIL</v>
      </c>
      <c r="N44" s="151">
        <f>+IF(OR($Q44=Parametres!$G$2,$Q44=Parametres!$G$3),I44,C44)</f>
        <v>0</v>
      </c>
      <c r="O44" s="497">
        <f>+IF(OR($Q44=Parametres!$G$2,$Q44=Parametres!$G$3),J44,D44)</f>
        <v>0.18</v>
      </c>
      <c r="P44" s="151">
        <f>+IF(OR($Q44=Parametres!$G$2,$Q44=Parametres!$G$3),K44,E44)</f>
        <v>0.18</v>
      </c>
      <c r="Q44" s="150" t="str">
        <f t="shared" si="2"/>
        <v>1-Mémo</v>
      </c>
      <c r="R44" s="149" t="str">
        <f t="shared" si="3"/>
        <v>124</v>
      </c>
      <c r="S44" s="150" t="str">
        <f t="shared" si="4"/>
        <v>_</v>
      </c>
      <c r="T44" s="152" t="str">
        <f>+VLOOKUP($L44,Data_Validation!$A:$D,1,0)</f>
        <v>125A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1270</v>
      </c>
      <c r="B45" s="708" t="s">
        <v>520</v>
      </c>
      <c r="C45" s="710"/>
      <c r="D45" s="710"/>
      <c r="E45" s="710"/>
      <c r="F45" s="708" t="s">
        <v>1</v>
      </c>
      <c r="G45" s="708" t="s">
        <v>2449</v>
      </c>
      <c r="H45" s="664" t="s">
        <v>2997</v>
      </c>
      <c r="I45" s="663">
        <v>0.05</v>
      </c>
      <c r="J45" s="663">
        <v>0</v>
      </c>
      <c r="K45" s="663">
        <v>0.05</v>
      </c>
      <c r="L45" s="149" t="str">
        <f t="shared" si="0"/>
        <v>126A</v>
      </c>
      <c r="M45" s="150" t="str">
        <f t="shared" si="1"/>
        <v>JANV. NB VENTE NEUF BMW CAMION</v>
      </c>
      <c r="N45" s="151">
        <f>+IF(OR($Q45=Parametres!$G$2,$Q45=Parametres!$G$3),I45,C45)</f>
        <v>0.05</v>
      </c>
      <c r="O45" s="151">
        <f>+IF(OR($Q45=Parametres!$G$2,$Q45=Parametres!$G$3),J45,D45)</f>
        <v>0</v>
      </c>
      <c r="P45" s="151">
        <f>+IF(OR($Q45=Parametres!$G$2,$Q45=Parametres!$G$3),K45,E45)</f>
        <v>0.05</v>
      </c>
      <c r="Q45" s="150" t="str">
        <f t="shared" si="2"/>
        <v>1-Mémo</v>
      </c>
      <c r="R45" s="149" t="str">
        <f t="shared" si="3"/>
        <v>126</v>
      </c>
      <c r="S45" s="150" t="str">
        <f t="shared" si="4"/>
        <v>_</v>
      </c>
      <c r="T45" s="152" t="str">
        <f>+VLOOKUP($L45,Data_Validation!$A:$D,1,0)</f>
        <v>126A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1271</v>
      </c>
      <c r="B46" s="708" t="s">
        <v>521</v>
      </c>
      <c r="C46" s="710"/>
      <c r="D46" s="710"/>
      <c r="E46" s="710"/>
      <c r="F46" s="708" t="s">
        <v>1</v>
      </c>
      <c r="G46" s="708" t="s">
        <v>2449</v>
      </c>
      <c r="H46" s="664" t="s">
        <v>2997</v>
      </c>
      <c r="I46" s="663">
        <v>0.05</v>
      </c>
      <c r="J46" s="663">
        <v>0</v>
      </c>
      <c r="K46" s="663">
        <v>0.05</v>
      </c>
      <c r="L46" s="149" t="str">
        <f t="shared" si="0"/>
        <v>126B</v>
      </c>
      <c r="M46" s="150" t="str">
        <f t="shared" si="1"/>
        <v>FEV. NB VENTE NEUF BMW CAMION</v>
      </c>
      <c r="N46" s="151">
        <f>+IF(OR($Q46=Parametres!$G$2,$Q46=Parametres!$G$3),I46,C46)</f>
        <v>0.05</v>
      </c>
      <c r="O46" s="151">
        <f>+IF(OR($Q46=Parametres!$G$2,$Q46=Parametres!$G$3),J46,D46)</f>
        <v>0</v>
      </c>
      <c r="P46" s="151">
        <f>+IF(OR($Q46=Parametres!$G$2,$Q46=Parametres!$G$3),K46,E46)</f>
        <v>0.05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1272</v>
      </c>
      <c r="B47" s="708" t="s">
        <v>522</v>
      </c>
      <c r="C47" s="710"/>
      <c r="D47" s="710"/>
      <c r="E47" s="710"/>
      <c r="F47" s="708" t="s">
        <v>1</v>
      </c>
      <c r="G47" s="708" t="s">
        <v>2449</v>
      </c>
      <c r="H47" s="664" t="s">
        <v>2997</v>
      </c>
      <c r="I47" s="664">
        <v>0.19</v>
      </c>
      <c r="J47" s="664">
        <v>0</v>
      </c>
      <c r="K47" s="664">
        <v>0.19</v>
      </c>
      <c r="L47" s="149" t="str">
        <f t="shared" si="0"/>
        <v>126C</v>
      </c>
      <c r="M47" s="150" t="str">
        <f t="shared" si="1"/>
        <v>MARS NB VENTE NEUF BMW CAMION</v>
      </c>
      <c r="N47" s="151">
        <f>+IF(OR($Q47=Parametres!$G$2,$Q47=Parametres!$G$3),I47,C47)</f>
        <v>0.19</v>
      </c>
      <c r="O47" s="151">
        <f>+IF(OR($Q47=Parametres!$G$2,$Q47=Parametres!$G$3),J47,D47)</f>
        <v>0</v>
      </c>
      <c r="P47" s="151">
        <f>+IF(OR($Q47=Parametres!$G$2,$Q47=Parametres!$G$3),K47,E47)</f>
        <v>0.19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1273</v>
      </c>
      <c r="B48" s="708" t="s">
        <v>523</v>
      </c>
      <c r="C48" s="709"/>
      <c r="D48" s="709"/>
      <c r="E48" s="709"/>
      <c r="F48" s="708" t="s">
        <v>1</v>
      </c>
      <c r="G48" s="708" t="s">
        <v>2449</v>
      </c>
      <c r="H48" s="709" t="s">
        <v>2997</v>
      </c>
      <c r="I48" s="710">
        <v>0.16</v>
      </c>
      <c r="J48" s="710">
        <v>0</v>
      </c>
      <c r="K48" s="710">
        <v>0.16</v>
      </c>
      <c r="L48" s="149" t="str">
        <f t="shared" si="0"/>
        <v>126D</v>
      </c>
      <c r="M48" s="150" t="str">
        <f t="shared" si="1"/>
        <v>AVRIL NB VENTE NEUF BMW CAMION</v>
      </c>
      <c r="N48" s="151">
        <f>+IF(OR($Q48=Parametres!$G$2,$Q48=Parametres!$G$3),I48,C48)</f>
        <v>0.16</v>
      </c>
      <c r="O48" s="498">
        <f>+IF(OR($Q48=Parametres!$G$2,$Q48=Parametres!$G$3),J48,D48)</f>
        <v>0</v>
      </c>
      <c r="P48" s="151">
        <f>+IF(OR($Q48=Parametres!$G$2,$Q48=Parametres!$G$3),K48,E48)</f>
        <v>0.16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1274</v>
      </c>
      <c r="B49" s="708" t="s">
        <v>524</v>
      </c>
      <c r="C49" s="710"/>
      <c r="D49" s="710"/>
      <c r="E49" s="710"/>
      <c r="F49" s="708" t="s">
        <v>1</v>
      </c>
      <c r="G49" s="708" t="s">
        <v>2449</v>
      </c>
      <c r="H49" s="664" t="s">
        <v>2997</v>
      </c>
      <c r="I49" s="663">
        <v>0.27</v>
      </c>
      <c r="J49" s="663">
        <v>0</v>
      </c>
      <c r="K49" s="663">
        <v>0.27</v>
      </c>
      <c r="L49" s="149" t="str">
        <f t="shared" si="0"/>
        <v>126E</v>
      </c>
      <c r="M49" s="150" t="str">
        <f t="shared" si="1"/>
        <v>MAI NB VENTE NEUF BMW CAMION</v>
      </c>
      <c r="N49" s="151">
        <f>+IF(OR($Q49=Parametres!$G$2,$Q49=Parametres!$G$3),I49,C49)</f>
        <v>0.27</v>
      </c>
      <c r="O49" s="151">
        <f>+IF(OR($Q49=Parametres!$G$2,$Q49=Parametres!$G$3),J49,D49)</f>
        <v>0</v>
      </c>
      <c r="P49" s="151">
        <f>+IF(OR($Q49=Parametres!$G$2,$Q49=Parametres!$G$3),K49,E49)</f>
        <v>0.27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08" t="s">
        <v>1275</v>
      </c>
      <c r="B50" s="708" t="s">
        <v>525</v>
      </c>
      <c r="C50" s="710"/>
      <c r="D50" s="710"/>
      <c r="E50" s="710"/>
      <c r="F50" s="708" t="s">
        <v>1</v>
      </c>
      <c r="G50" s="708" t="s">
        <v>2449</v>
      </c>
      <c r="H50" s="664" t="s">
        <v>2997</v>
      </c>
      <c r="I50" s="664">
        <v>0.09</v>
      </c>
      <c r="J50" s="664">
        <v>0</v>
      </c>
      <c r="K50" s="664">
        <v>0.09</v>
      </c>
      <c r="L50" s="149" t="str">
        <f t="shared" si="0"/>
        <v>126F</v>
      </c>
      <c r="M50" s="150" t="str">
        <f t="shared" si="1"/>
        <v>JUIN NB VENTE NEUF BMW CAMION</v>
      </c>
      <c r="N50" s="151">
        <f>+IF(OR($Q50=Parametres!$G$2,$Q50=Parametres!$G$3),I50,C50)</f>
        <v>0.09</v>
      </c>
      <c r="O50" s="151">
        <f>+IF(OR($Q50=Parametres!$G$2,$Q50=Parametres!$G$3),J50,D50)</f>
        <v>0</v>
      </c>
      <c r="P50" s="151">
        <f>+IF(OR($Q50=Parametres!$G$2,$Q50=Parametres!$G$3),K50,E50)</f>
        <v>0.09</v>
      </c>
      <c r="Q50" s="150" t="str">
        <f t="shared" si="2"/>
        <v>1-Mémo</v>
      </c>
      <c r="R50" s="149" t="str">
        <f t="shared" si="3"/>
        <v>126</v>
      </c>
      <c r="S50" s="150" t="str">
        <f t="shared" si="4"/>
        <v>_</v>
      </c>
      <c r="T50" s="152" t="str">
        <f>+VLOOKUP($L50,Data_Validation!$A:$D,1,0)</f>
        <v>126F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1276</v>
      </c>
      <c r="B51" s="708" t="s">
        <v>526</v>
      </c>
      <c r="C51" s="710"/>
      <c r="D51" s="710"/>
      <c r="E51" s="710"/>
      <c r="F51" s="708" t="s">
        <v>1</v>
      </c>
      <c r="G51" s="708" t="s">
        <v>2449</v>
      </c>
      <c r="H51" s="664" t="s">
        <v>2997</v>
      </c>
      <c r="I51" s="663">
        <v>0.08</v>
      </c>
      <c r="J51" s="663">
        <v>0</v>
      </c>
      <c r="K51" s="663">
        <v>0.08</v>
      </c>
      <c r="L51" s="149" t="str">
        <f t="shared" si="0"/>
        <v>126G</v>
      </c>
      <c r="M51" s="150" t="str">
        <f t="shared" si="1"/>
        <v>JUIL. NB VENTE NEUF BMW CAMION</v>
      </c>
      <c r="N51" s="151">
        <f>+IF(OR($Q51=Parametres!$G$2,$Q51=Parametres!$G$3),I51,C51)</f>
        <v>0.08</v>
      </c>
      <c r="O51" s="151">
        <f>+IF(OR($Q51=Parametres!$G$2,$Q51=Parametres!$G$3),J51,D51)</f>
        <v>0</v>
      </c>
      <c r="P51" s="151">
        <f>+IF(OR($Q51=Parametres!$G$2,$Q51=Parametres!$G$3),K51,E51)</f>
        <v>0.08</v>
      </c>
      <c r="Q51" s="150" t="str">
        <f t="shared" si="2"/>
        <v>1-Mémo</v>
      </c>
      <c r="R51" s="149" t="str">
        <f t="shared" si="3"/>
        <v>126</v>
      </c>
      <c r="S51" s="150" t="str">
        <f t="shared" si="4"/>
        <v>_</v>
      </c>
      <c r="T51" s="152" t="str">
        <f>+VLOOKUP($L51,Data_Validation!$A:$D,1,0)</f>
        <v>126G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1277</v>
      </c>
      <c r="B52" s="708" t="s">
        <v>527</v>
      </c>
      <c r="C52" s="709"/>
      <c r="D52" s="709"/>
      <c r="E52" s="709"/>
      <c r="F52" s="708" t="s">
        <v>1</v>
      </c>
      <c r="G52" s="708" t="s">
        <v>2449</v>
      </c>
      <c r="H52" s="709" t="s">
        <v>2997</v>
      </c>
      <c r="I52" s="710">
        <v>0.11</v>
      </c>
      <c r="J52" s="710">
        <v>0</v>
      </c>
      <c r="K52" s="710">
        <v>0.11</v>
      </c>
      <c r="L52" s="149" t="str">
        <f t="shared" si="0"/>
        <v>126H</v>
      </c>
      <c r="M52" s="150" t="str">
        <f t="shared" si="1"/>
        <v>AOUT NB VENTE NEUF BMW CAMION</v>
      </c>
      <c r="N52" s="151">
        <f>+IF(OR($Q52=Parametres!$G$2,$Q52=Parametres!$G$3),I52,C52)</f>
        <v>0.11</v>
      </c>
      <c r="O52" s="151">
        <f>+IF(OR($Q52=Parametres!$G$2,$Q52=Parametres!$G$3),J52,D52)</f>
        <v>0</v>
      </c>
      <c r="P52" s="151">
        <f>+IF(OR($Q52=Parametres!$G$2,$Q52=Parametres!$G$3),K52,E52)</f>
        <v>0.11</v>
      </c>
      <c r="Q52" s="150" t="str">
        <f t="shared" si="2"/>
        <v>1-Mémo</v>
      </c>
      <c r="R52" s="149" t="str">
        <f t="shared" si="3"/>
        <v>126</v>
      </c>
      <c r="S52" s="150" t="str">
        <f t="shared" si="4"/>
        <v>_</v>
      </c>
      <c r="T52" s="152" t="str">
        <f>+VLOOKUP($L52,Data_Validation!$A:$D,1,0)</f>
        <v>126H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1278</v>
      </c>
      <c r="B53" s="708" t="s">
        <v>528</v>
      </c>
      <c r="C53" s="710"/>
      <c r="D53" s="710"/>
      <c r="E53" s="710"/>
      <c r="F53" s="708" t="s">
        <v>1</v>
      </c>
      <c r="G53" s="708" t="s">
        <v>2449</v>
      </c>
      <c r="H53" s="664" t="s">
        <v>2997</v>
      </c>
      <c r="I53" s="663">
        <v>0.03</v>
      </c>
      <c r="J53" s="663">
        <v>0</v>
      </c>
      <c r="K53" s="663">
        <v>0.03</v>
      </c>
      <c r="L53" s="149" t="str">
        <f t="shared" si="0"/>
        <v>126Z</v>
      </c>
      <c r="M53" s="150" t="str">
        <f t="shared" si="1"/>
        <v>SEPT. NB VENTE NEUF BMW CAMION</v>
      </c>
      <c r="N53" s="151">
        <f>+IF(OR($Q53=Parametres!$G$2,$Q53=Parametres!$G$3),I53,C53)</f>
        <v>0.03</v>
      </c>
      <c r="O53" s="151">
        <f>+IF(OR($Q53=Parametres!$G$2,$Q53=Parametres!$G$3),J53,D53)</f>
        <v>0</v>
      </c>
      <c r="P53" s="151">
        <f>+IF(OR($Q53=Parametres!$G$2,$Q53=Parametres!$G$3),K53,E53)</f>
        <v>0.03</v>
      </c>
      <c r="Q53" s="150" t="str">
        <f t="shared" si="2"/>
        <v>1-Mémo</v>
      </c>
      <c r="R53" s="149" t="str">
        <f t="shared" si="3"/>
        <v>126</v>
      </c>
      <c r="S53" s="150" t="str">
        <f t="shared" si="4"/>
        <v>_</v>
      </c>
      <c r="T53" s="152" t="str">
        <f>+VLOOKUP($L53,Data_Validation!$A:$D,1,0)</f>
        <v>126Z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1279</v>
      </c>
      <c r="B54" s="708" t="s">
        <v>529</v>
      </c>
      <c r="C54" s="710"/>
      <c r="D54" s="710"/>
      <c r="E54" s="710"/>
      <c r="F54" s="708" t="s">
        <v>1</v>
      </c>
      <c r="G54" s="708" t="s">
        <v>2450</v>
      </c>
      <c r="H54" s="664" t="s">
        <v>2997</v>
      </c>
      <c r="I54" s="664">
        <v>0.13</v>
      </c>
      <c r="J54" s="664">
        <v>0</v>
      </c>
      <c r="K54" s="664">
        <v>0.13</v>
      </c>
      <c r="L54" s="149" t="str">
        <f t="shared" si="0"/>
        <v>127A</v>
      </c>
      <c r="M54" s="150" t="str">
        <f t="shared" si="1"/>
        <v>JANV. NB VENTE USAGE GROS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2"/>
        <v>1-Mémo</v>
      </c>
      <c r="R54" s="149" t="str">
        <f t="shared" si="3"/>
        <v>127</v>
      </c>
      <c r="S54" s="150" t="str">
        <f t="shared" si="4"/>
        <v>_</v>
      </c>
      <c r="T54" s="152" t="str">
        <f>+VLOOKUP($L54,Data_Validation!$A:$D,1,0)</f>
        <v>127A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1280</v>
      </c>
      <c r="B55" s="708" t="s">
        <v>530</v>
      </c>
      <c r="C55" s="710"/>
      <c r="D55" s="710"/>
      <c r="E55" s="710"/>
      <c r="F55" s="708" t="s">
        <v>1</v>
      </c>
      <c r="G55" s="708" t="s">
        <v>2450</v>
      </c>
      <c r="H55" s="664" t="s">
        <v>2997</v>
      </c>
      <c r="I55" s="663">
        <v>0.15</v>
      </c>
      <c r="J55" s="663">
        <v>0</v>
      </c>
      <c r="K55" s="663">
        <v>0.15</v>
      </c>
      <c r="L55" s="149" t="str">
        <f t="shared" si="0"/>
        <v>127B</v>
      </c>
      <c r="M55" s="150" t="str">
        <f t="shared" si="1"/>
        <v>FEV. NB VENTE USAGE GROS</v>
      </c>
      <c r="N55" s="151">
        <f>+IF(OR($Q55=Parametres!$G$2,$Q55=Parametres!$G$3),I55,C55)</f>
        <v>0.15</v>
      </c>
      <c r="O55" s="151">
        <f>+IF(OR($Q55=Parametres!$G$2,$Q55=Parametres!$G$3),J55,D55)</f>
        <v>0</v>
      </c>
      <c r="P55" s="151">
        <f>+IF(OR($Q55=Parametres!$G$2,$Q55=Parametres!$G$3),K55,E55)</f>
        <v>0.15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1281</v>
      </c>
      <c r="B56" s="708" t="s">
        <v>531</v>
      </c>
      <c r="C56" s="710"/>
      <c r="D56" s="710"/>
      <c r="E56" s="710"/>
      <c r="F56" s="708" t="s">
        <v>1</v>
      </c>
      <c r="G56" s="708" t="s">
        <v>2450</v>
      </c>
      <c r="H56" s="664" t="s">
        <v>2997</v>
      </c>
      <c r="I56" s="663">
        <v>0.12</v>
      </c>
      <c r="J56" s="663">
        <v>0</v>
      </c>
      <c r="K56" s="663">
        <v>0.12</v>
      </c>
      <c r="L56" s="149" t="str">
        <f t="shared" si="0"/>
        <v>127C</v>
      </c>
      <c r="M56" s="150" t="str">
        <f t="shared" si="1"/>
        <v>MARS NB VENTE USAGE GROS</v>
      </c>
      <c r="N56" s="151">
        <f>+IF(OR($Q56=Parametres!$G$2,$Q56=Parametres!$G$3),I56,C56)</f>
        <v>0.12</v>
      </c>
      <c r="O56" s="151">
        <f>+IF(OR($Q56=Parametres!$G$2,$Q56=Parametres!$G$3),J56,D56)</f>
        <v>0</v>
      </c>
      <c r="P56" s="151">
        <f>+IF(OR($Q56=Parametres!$G$2,$Q56=Parametres!$G$3),K56,E56)</f>
        <v>0.12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1282</v>
      </c>
      <c r="B57" s="708" t="s">
        <v>532</v>
      </c>
      <c r="C57" s="710"/>
      <c r="D57" s="710"/>
      <c r="E57" s="710"/>
      <c r="F57" s="708" t="s">
        <v>1</v>
      </c>
      <c r="G57" s="708" t="s">
        <v>2450</v>
      </c>
      <c r="H57" s="664" t="s">
        <v>2997</v>
      </c>
      <c r="I57" s="663">
        <v>0.15</v>
      </c>
      <c r="J57" s="663">
        <v>0</v>
      </c>
      <c r="K57" s="663">
        <v>0.15</v>
      </c>
      <c r="L57" s="149" t="str">
        <f t="shared" si="0"/>
        <v>127D</v>
      </c>
      <c r="M57" s="150" t="str">
        <f t="shared" si="1"/>
        <v>AVRIL NB VENTE USAGE GROS</v>
      </c>
      <c r="N57" s="151">
        <f>+IF(OR($Q57=Parametres!$G$2,$Q57=Parametres!$G$3),I57,C57)</f>
        <v>0.15</v>
      </c>
      <c r="O57" s="151">
        <f>+IF(OR($Q57=Parametres!$G$2,$Q57=Parametres!$G$3),J57,D57)</f>
        <v>0</v>
      </c>
      <c r="P57" s="151">
        <f>+IF(OR($Q57=Parametres!$G$2,$Q57=Parametres!$G$3),K57,E57)</f>
        <v>0.15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1283</v>
      </c>
      <c r="B58" s="708" t="s">
        <v>533</v>
      </c>
      <c r="C58" s="710"/>
      <c r="D58" s="710"/>
      <c r="E58" s="710"/>
      <c r="F58" s="708" t="s">
        <v>1</v>
      </c>
      <c r="G58" s="708" t="s">
        <v>2450</v>
      </c>
      <c r="H58" s="600" t="s">
        <v>2997</v>
      </c>
      <c r="I58" s="601">
        <v>0.34</v>
      </c>
      <c r="J58" s="601">
        <v>0</v>
      </c>
      <c r="K58" s="601">
        <v>0.34</v>
      </c>
      <c r="L58" s="149" t="str">
        <f t="shared" si="0"/>
        <v>127E</v>
      </c>
      <c r="M58" s="150" t="str">
        <f t="shared" si="1"/>
        <v>MAI NB VENTE USAGE GROS</v>
      </c>
      <c r="N58" s="151">
        <f>+IF(OR($Q58=Parametres!$G$2,$Q58=Parametres!$G$3),I58,C58)</f>
        <v>0.34</v>
      </c>
      <c r="O58" s="151">
        <f>+IF(OR($Q58=Parametres!$G$2,$Q58=Parametres!$G$3),J58,D58)</f>
        <v>0</v>
      </c>
      <c r="P58" s="151">
        <f>+IF(OR($Q58=Parametres!$G$2,$Q58=Parametres!$G$3),K58,E58)</f>
        <v>0.34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1284</v>
      </c>
      <c r="B59" s="708" t="s">
        <v>534</v>
      </c>
      <c r="C59" s="710"/>
      <c r="D59" s="710"/>
      <c r="E59" s="710"/>
      <c r="F59" s="708" t="s">
        <v>1</v>
      </c>
      <c r="G59" s="708" t="s">
        <v>2450</v>
      </c>
      <c r="H59" s="664" t="s">
        <v>2997</v>
      </c>
      <c r="I59" s="663">
        <v>0.11</v>
      </c>
      <c r="J59" s="663">
        <v>0</v>
      </c>
      <c r="K59" s="663">
        <v>0.11</v>
      </c>
      <c r="L59" s="149" t="str">
        <f t="shared" si="0"/>
        <v>127F</v>
      </c>
      <c r="M59" s="150" t="str">
        <f t="shared" si="1"/>
        <v>JUIN NB VENTE USAGE GROS</v>
      </c>
      <c r="N59" s="151">
        <f>+IF(OR($Q59=Parametres!$G$2,$Q59=Parametres!$G$3),I59,C59)</f>
        <v>0.11</v>
      </c>
      <c r="O59" s="151">
        <f>+IF(OR($Q59=Parametres!$G$2,$Q59=Parametres!$G$3),J59,D59)</f>
        <v>0</v>
      </c>
      <c r="P59" s="151">
        <f>+IF(OR($Q59=Parametres!$G$2,$Q59=Parametres!$G$3),K59,E59)</f>
        <v>0.11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127F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1285</v>
      </c>
      <c r="B60" s="708" t="s">
        <v>535</v>
      </c>
      <c r="C60" s="710"/>
      <c r="D60" s="710"/>
      <c r="E60" s="710"/>
      <c r="F60" s="708" t="s">
        <v>1</v>
      </c>
      <c r="G60" s="708" t="s">
        <v>2450</v>
      </c>
      <c r="H60" s="664" t="s">
        <v>2997</v>
      </c>
      <c r="I60" s="664">
        <v>0.23</v>
      </c>
      <c r="J60" s="664">
        <v>0</v>
      </c>
      <c r="K60" s="664">
        <v>0.23</v>
      </c>
      <c r="L60" s="149" t="str">
        <f t="shared" si="0"/>
        <v>127G</v>
      </c>
      <c r="M60" s="150" t="str">
        <f t="shared" si="1"/>
        <v>JUIL. NB VENTE USAGE GROS</v>
      </c>
      <c r="N60" s="151">
        <f>+IF(OR($Q60=Parametres!$G$2,$Q60=Parametres!$G$3),I60,C60)</f>
        <v>0.23</v>
      </c>
      <c r="O60" s="151">
        <f>+IF(OR($Q60=Parametres!$G$2,$Q60=Parametres!$G$3),J60,D60)</f>
        <v>0</v>
      </c>
      <c r="P60" s="151">
        <f>+IF(OR($Q60=Parametres!$G$2,$Q60=Parametres!$G$3),K60,E60)</f>
        <v>0.23</v>
      </c>
      <c r="Q60" s="150" t="str">
        <f t="shared" si="2"/>
        <v>1-Mémo</v>
      </c>
      <c r="R60" s="149" t="str">
        <f t="shared" si="3"/>
        <v>127</v>
      </c>
      <c r="S60" s="150" t="str">
        <f t="shared" si="4"/>
        <v>_</v>
      </c>
      <c r="T60" s="152" t="str">
        <f>+VLOOKUP($L60,Data_Validation!$A:$D,1,0)</f>
        <v>127G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1286</v>
      </c>
      <c r="B61" s="708" t="s">
        <v>536</v>
      </c>
      <c r="C61" s="710"/>
      <c r="D61" s="710"/>
      <c r="E61" s="710"/>
      <c r="F61" s="708" t="s">
        <v>1</v>
      </c>
      <c r="G61" s="708" t="s">
        <v>2450</v>
      </c>
      <c r="H61" s="664" t="s">
        <v>2997</v>
      </c>
      <c r="I61" s="664">
        <v>0.15</v>
      </c>
      <c r="J61" s="664">
        <v>0</v>
      </c>
      <c r="K61" s="664">
        <v>0.15</v>
      </c>
      <c r="L61" s="149" t="str">
        <f t="shared" si="0"/>
        <v>127H</v>
      </c>
      <c r="M61" s="150" t="str">
        <f t="shared" si="1"/>
        <v>AOUT NB VENTE USAGE GROS</v>
      </c>
      <c r="N61" s="151">
        <f>+IF(OR($Q61=Parametres!$G$2,$Q61=Parametres!$G$3),I61,C61)</f>
        <v>0.15</v>
      </c>
      <c r="O61" s="151">
        <f>+IF(OR($Q61=Parametres!$G$2,$Q61=Parametres!$G$3),J61,D61)</f>
        <v>0</v>
      </c>
      <c r="P61" s="151">
        <f>+IF(OR($Q61=Parametres!$G$2,$Q61=Parametres!$G$3),K61,E61)</f>
        <v>0.15</v>
      </c>
      <c r="Q61" s="150" t="str">
        <f t="shared" si="2"/>
        <v>1-Mémo</v>
      </c>
      <c r="R61" s="149" t="str">
        <f t="shared" si="3"/>
        <v>127</v>
      </c>
      <c r="S61" s="150" t="str">
        <f t="shared" si="4"/>
        <v>_</v>
      </c>
      <c r="T61" s="152" t="str">
        <f>+VLOOKUP($L61,Data_Validation!$A:$D,1,0)</f>
        <v>127H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1287</v>
      </c>
      <c r="B62" s="708" t="s">
        <v>537</v>
      </c>
      <c r="C62" s="710"/>
      <c r="D62" s="710"/>
      <c r="E62" s="710"/>
      <c r="F62" s="708" t="s">
        <v>1</v>
      </c>
      <c r="G62" s="708" t="s">
        <v>2450</v>
      </c>
      <c r="H62" s="600" t="s">
        <v>2997</v>
      </c>
      <c r="I62" s="153">
        <v>0.1</v>
      </c>
      <c r="J62" s="153">
        <v>0</v>
      </c>
      <c r="K62" s="153">
        <v>0.1</v>
      </c>
      <c r="L62" s="149" t="str">
        <f t="shared" si="0"/>
        <v>127Z</v>
      </c>
      <c r="M62" s="150" t="str">
        <f t="shared" si="1"/>
        <v>SEPT. NB VENTE USAGE GROS</v>
      </c>
      <c r="N62" s="151">
        <f>+IF(OR($Q62=Parametres!$G$2,$Q62=Parametres!$G$3),I62,C62)</f>
        <v>0.1</v>
      </c>
      <c r="O62" s="151">
        <f>+IF(OR($Q62=Parametres!$G$2,$Q62=Parametres!$G$3),J62,D62)</f>
        <v>0</v>
      </c>
      <c r="P62" s="151">
        <f>+IF(OR($Q62=Parametres!$G$2,$Q62=Parametres!$G$3),K62,E62)</f>
        <v>0.1</v>
      </c>
      <c r="Q62" s="150" t="str">
        <f t="shared" si="2"/>
        <v>1-Mémo</v>
      </c>
      <c r="R62" s="149" t="str">
        <f t="shared" si="3"/>
        <v>127</v>
      </c>
      <c r="S62" s="150" t="str">
        <f t="shared" si="4"/>
        <v>_</v>
      </c>
      <c r="T62" s="152" t="str">
        <f>+VLOOKUP($L62,Data_Validation!$A:$D,1,0)</f>
        <v>127Z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1288</v>
      </c>
      <c r="B63" s="708" t="s">
        <v>538</v>
      </c>
      <c r="C63" s="710"/>
      <c r="D63" s="710"/>
      <c r="E63" s="710"/>
      <c r="F63" s="708" t="s">
        <v>1</v>
      </c>
      <c r="G63" s="708" t="s">
        <v>2450</v>
      </c>
      <c r="H63" s="664" t="s">
        <v>2997</v>
      </c>
      <c r="I63" s="663">
        <v>0.2</v>
      </c>
      <c r="J63" s="663">
        <v>0</v>
      </c>
      <c r="K63" s="663">
        <v>0.2</v>
      </c>
      <c r="L63" s="149" t="str">
        <f t="shared" si="0"/>
        <v>128</v>
      </c>
      <c r="M63" s="150" t="str">
        <f t="shared" si="1"/>
        <v>OCT. NB VENTE USAGE GROS</v>
      </c>
      <c r="N63" s="151">
        <f>+IF(OR($Q63=Parametres!$G$2,$Q63=Parametres!$G$3),I63,C63)</f>
        <v>0.2</v>
      </c>
      <c r="O63" s="151">
        <f>+IF(OR($Q63=Parametres!$G$2,$Q63=Parametres!$G$3),J63,D63)</f>
        <v>0</v>
      </c>
      <c r="P63" s="151">
        <f>+IF(OR($Q63=Parametres!$G$2,$Q63=Parametres!$G$3),K63,E63)</f>
        <v>0.2</v>
      </c>
      <c r="Q63" s="150" t="str">
        <f t="shared" si="2"/>
        <v>1-Mémo</v>
      </c>
      <c r="R63" s="149" t="str">
        <f t="shared" si="3"/>
        <v>127</v>
      </c>
      <c r="S63" s="150" t="str">
        <f t="shared" si="4"/>
        <v>_</v>
      </c>
      <c r="T63" s="152" t="str">
        <f>+VLOOKUP($L63,Data_Validation!$A:$D,1,0)</f>
        <v>128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1289</v>
      </c>
      <c r="B64" s="708" t="s">
        <v>539</v>
      </c>
      <c r="C64" s="709"/>
      <c r="D64" s="709"/>
      <c r="E64" s="709"/>
      <c r="F64" s="708" t="s">
        <v>1</v>
      </c>
      <c r="G64" s="708" t="s">
        <v>2450</v>
      </c>
      <c r="H64" s="709" t="s">
        <v>2997</v>
      </c>
      <c r="I64" s="710">
        <v>0</v>
      </c>
      <c r="J64" s="710">
        <v>0.3</v>
      </c>
      <c r="K64" s="710">
        <v>0.3</v>
      </c>
      <c r="L64" s="149" t="str">
        <f t="shared" si="0"/>
        <v>128A</v>
      </c>
      <c r="M64" s="150" t="str">
        <f t="shared" si="1"/>
        <v>NOV. NB VENTE USAGE GROS</v>
      </c>
      <c r="N64" s="151">
        <f>+IF(OR($Q64=Parametres!$G$2,$Q64=Parametres!$G$3),I64,C64)</f>
        <v>0</v>
      </c>
      <c r="O64" s="497">
        <f>+IF(OR($Q64=Parametres!$G$2,$Q64=Parametres!$G$3),J64,D64)</f>
        <v>0.3</v>
      </c>
      <c r="P64" s="151">
        <f>+IF(OR($Q64=Parametres!$G$2,$Q64=Parametres!$G$3),K64,E64)</f>
        <v>0.3</v>
      </c>
      <c r="Q64" s="150" t="str">
        <f t="shared" si="2"/>
        <v>1-Mémo</v>
      </c>
      <c r="R64" s="149" t="str">
        <f t="shared" si="3"/>
        <v>127</v>
      </c>
      <c r="S64" s="150" t="str">
        <f t="shared" si="4"/>
        <v>_</v>
      </c>
      <c r="T64" s="152" t="str">
        <f>+VLOOKUP($L64,Data_Validation!$A:$D,1,0)</f>
        <v>128A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1290</v>
      </c>
      <c r="B65" s="708" t="s">
        <v>540</v>
      </c>
      <c r="C65" s="710"/>
      <c r="D65" s="710"/>
      <c r="E65" s="710"/>
      <c r="F65" s="708" t="s">
        <v>1</v>
      </c>
      <c r="G65" s="708" t="s">
        <v>573</v>
      </c>
      <c r="H65" s="664" t="s">
        <v>2997</v>
      </c>
      <c r="I65" s="663">
        <v>0.57999999999999996</v>
      </c>
      <c r="J65" s="663">
        <v>0.06</v>
      </c>
      <c r="K65" s="663">
        <v>0.64</v>
      </c>
      <c r="L65" s="149" t="str">
        <f t="shared" si="0"/>
        <v>130D</v>
      </c>
      <c r="M65" s="150" t="str">
        <f t="shared" si="1"/>
        <v>NB INV + 30 JOURS USAGE BMW CAMION</v>
      </c>
      <c r="N65" s="151">
        <f>+IF(OR($Q65=Parametres!$G$2,$Q65=Parametres!$G$3),I65,C65)</f>
        <v>0.57999999999999996</v>
      </c>
      <c r="O65" s="151">
        <f>+IF(OR($Q65=Parametres!$G$2,$Q65=Parametres!$G$3),J65,D65)</f>
        <v>0.06</v>
      </c>
      <c r="P65" s="151">
        <f>+IF(OR($Q65=Parametres!$G$2,$Q65=Parametres!$G$3),K65,E65)</f>
        <v>0.64</v>
      </c>
      <c r="Q65" s="150" t="str">
        <f t="shared" si="2"/>
        <v>1-Mémo</v>
      </c>
      <c r="R65" s="149" t="str">
        <f t="shared" si="3"/>
        <v>156</v>
      </c>
      <c r="S65" s="150" t="str">
        <f t="shared" si="4"/>
        <v>_</v>
      </c>
      <c r="T65" s="152" t="str">
        <f>+VLOOKUP($L65,Data_Validation!$A:$D,1,0)</f>
        <v>130D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1291</v>
      </c>
      <c r="B66" s="708" t="s">
        <v>541</v>
      </c>
      <c r="C66" s="710"/>
      <c r="D66" s="710"/>
      <c r="E66" s="710"/>
      <c r="F66" s="708" t="s">
        <v>1</v>
      </c>
      <c r="G66" s="708" t="s">
        <v>573</v>
      </c>
      <c r="H66" s="657" t="s">
        <v>2997</v>
      </c>
      <c r="I66" s="656">
        <v>1</v>
      </c>
      <c r="J66" s="656">
        <v>0.04</v>
      </c>
      <c r="K66" s="656">
        <v>1.04</v>
      </c>
      <c r="L66" s="149" t="str">
        <f t="shared" ref="L66:L129" si="5">+B66</f>
        <v>130F</v>
      </c>
      <c r="M66" s="150" t="str">
        <f t="shared" ref="M66:M129" si="6">+A66</f>
        <v>NB INV + 30 JOURS USAGE AUTRES</v>
      </c>
      <c r="N66" s="151">
        <f>+IF(OR($Q66=Parametres!$G$2,$Q66=Parametres!$G$3),I66,C66)</f>
        <v>1</v>
      </c>
      <c r="O66" s="151">
        <f>+IF(OR($Q66=Parametres!$G$2,$Q66=Parametres!$G$3),J66,D66)</f>
        <v>0.04</v>
      </c>
      <c r="P66" s="151">
        <f>+IF(OR($Q66=Parametres!$G$2,$Q66=Parametres!$G$3),K66,E66)</f>
        <v>1.04</v>
      </c>
      <c r="Q66" s="150" t="str">
        <f t="shared" ref="Q66:Q129" si="7">+F66</f>
        <v>1-Mémo</v>
      </c>
      <c r="R66" s="149" t="str">
        <f t="shared" ref="R66:R129" si="8">+G66</f>
        <v>156</v>
      </c>
      <c r="S66" s="150" t="str">
        <f t="shared" ref="S66:S129" si="9">+H66</f>
        <v>_</v>
      </c>
      <c r="T66" s="152" t="str">
        <f>+VLOOKUP($L66,Data_Validation!$A:$D,1,0)</f>
        <v>130F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1292</v>
      </c>
      <c r="B67" s="708" t="s">
        <v>542</v>
      </c>
      <c r="C67" s="710"/>
      <c r="D67" s="710"/>
      <c r="E67" s="710"/>
      <c r="F67" s="708" t="s">
        <v>1</v>
      </c>
      <c r="G67" s="708" t="s">
        <v>542</v>
      </c>
      <c r="H67" s="664" t="s">
        <v>2997</v>
      </c>
      <c r="I67" s="663">
        <v>0.26</v>
      </c>
      <c r="J67" s="663">
        <v>0.03</v>
      </c>
      <c r="K67" s="663">
        <v>0.28999999999999998</v>
      </c>
      <c r="L67" s="149" t="str">
        <f t="shared" si="5"/>
        <v>132B</v>
      </c>
      <c r="M67" s="150" t="str">
        <f t="shared" si="6"/>
        <v>NB INV USAGE BMW AUTO 31-60 JRS</v>
      </c>
      <c r="N67" s="151">
        <f>+IF(OR($Q67=Parametres!$G$2,$Q67=Parametres!$G$3),I67,C67)</f>
        <v>0.26</v>
      </c>
      <c r="O67" s="151">
        <f>+IF(OR($Q67=Parametres!$G$2,$Q67=Parametres!$G$3),J67,D67)</f>
        <v>0.03</v>
      </c>
      <c r="P67" s="151">
        <f>+IF(OR($Q67=Parametres!$G$2,$Q67=Parametres!$G$3),K67,E67)</f>
        <v>0.28999999999999998</v>
      </c>
      <c r="Q67" s="150" t="str">
        <f t="shared" si="7"/>
        <v>1-Mémo</v>
      </c>
      <c r="R67" s="149" t="str">
        <f t="shared" si="8"/>
        <v>132B</v>
      </c>
      <c r="S67" s="150" t="str">
        <f t="shared" si="9"/>
        <v>_</v>
      </c>
      <c r="T67" s="152" t="str">
        <f>+VLOOKUP($L67,Data_Validation!$A:$D,1,0)</f>
        <v>132B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1293</v>
      </c>
      <c r="B68" s="708" t="s">
        <v>543</v>
      </c>
      <c r="C68" s="710"/>
      <c r="D68" s="710"/>
      <c r="E68" s="710"/>
      <c r="F68" s="708" t="s">
        <v>1</v>
      </c>
      <c r="G68" s="708" t="s">
        <v>542</v>
      </c>
      <c r="H68" s="657" t="s">
        <v>2997</v>
      </c>
      <c r="I68" s="656">
        <v>0.09</v>
      </c>
      <c r="J68" s="656">
        <v>0</v>
      </c>
      <c r="K68" s="656">
        <v>0.09</v>
      </c>
      <c r="L68" s="149" t="str">
        <f t="shared" si="5"/>
        <v>132C</v>
      </c>
      <c r="M68" s="150" t="str">
        <f t="shared" si="6"/>
        <v>NB INV USAGE BMW AUTO 61-90 JRS</v>
      </c>
      <c r="N68" s="151">
        <f>+IF(OR($Q68=Parametres!$G$2,$Q68=Parametres!$G$3),I68,C68)</f>
        <v>0.09</v>
      </c>
      <c r="O68" s="151">
        <f>+IF(OR($Q68=Parametres!$G$2,$Q68=Parametres!$G$3),J68,D68)</f>
        <v>0</v>
      </c>
      <c r="P68" s="151">
        <f>+IF(OR($Q68=Parametres!$G$2,$Q68=Parametres!$G$3),K68,E68)</f>
        <v>0.09</v>
      </c>
      <c r="Q68" s="150" t="str">
        <f t="shared" si="7"/>
        <v>1-Mémo</v>
      </c>
      <c r="R68" s="149" t="str">
        <f t="shared" si="8"/>
        <v>132B</v>
      </c>
      <c r="S68" s="150" t="str">
        <f t="shared" si="9"/>
        <v>_</v>
      </c>
      <c r="T68" s="152" t="str">
        <f>+VLOOKUP($L68,Data_Validation!$A:$D,1,0)</f>
        <v>132C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1294</v>
      </c>
      <c r="B69" s="708" t="s">
        <v>544</v>
      </c>
      <c r="C69" s="710"/>
      <c r="D69" s="710"/>
      <c r="E69" s="710"/>
      <c r="F69" s="708" t="s">
        <v>1</v>
      </c>
      <c r="G69" s="708" t="s">
        <v>542</v>
      </c>
      <c r="H69" s="664" t="s">
        <v>2997</v>
      </c>
      <c r="I69" s="663">
        <v>0.08</v>
      </c>
      <c r="J69" s="663">
        <v>0</v>
      </c>
      <c r="K69" s="663">
        <v>0.08</v>
      </c>
      <c r="L69" s="149" t="str">
        <f t="shared" si="5"/>
        <v>132D</v>
      </c>
      <c r="M69" s="150" t="str">
        <f t="shared" si="6"/>
        <v>NB INV USAGE BMW AUTO 91-120 JRS</v>
      </c>
      <c r="N69" s="151">
        <f>+IF(OR($Q69=Parametres!$G$2,$Q69=Parametres!$G$3),I69,C69)</f>
        <v>0.08</v>
      </c>
      <c r="O69" s="151">
        <f>+IF(OR($Q69=Parametres!$G$2,$Q69=Parametres!$G$3),J69,D69)</f>
        <v>0</v>
      </c>
      <c r="P69" s="151">
        <f>+IF(OR($Q69=Parametres!$G$2,$Q69=Parametres!$G$3),K69,E69)</f>
        <v>0.08</v>
      </c>
      <c r="Q69" s="150" t="str">
        <f t="shared" si="7"/>
        <v>1-Mémo</v>
      </c>
      <c r="R69" s="149" t="str">
        <f t="shared" si="8"/>
        <v>132B</v>
      </c>
      <c r="S69" s="150" t="str">
        <f t="shared" si="9"/>
        <v>_</v>
      </c>
      <c r="T69" s="152" t="str">
        <f>+VLOOKUP($L69,Data_Validation!$A:$D,1,0)</f>
        <v>132D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1295</v>
      </c>
      <c r="B70" s="708" t="s">
        <v>545</v>
      </c>
      <c r="C70" s="710"/>
      <c r="D70" s="710"/>
      <c r="E70" s="710"/>
      <c r="F70" s="708" t="s">
        <v>1</v>
      </c>
      <c r="G70" s="708" t="s">
        <v>542</v>
      </c>
      <c r="H70" s="657" t="s">
        <v>2997</v>
      </c>
      <c r="I70" s="656">
        <v>0.01</v>
      </c>
      <c r="J70" s="656">
        <v>0</v>
      </c>
      <c r="K70" s="656">
        <v>0.01</v>
      </c>
      <c r="L70" s="149" t="str">
        <f t="shared" si="5"/>
        <v>132E</v>
      </c>
      <c r="M70" s="150" t="str">
        <f t="shared" si="6"/>
        <v>NB INV USAGE BMW AUTO 120+ JRS</v>
      </c>
      <c r="N70" s="151">
        <f>+IF(OR($Q70=Parametres!$G$2,$Q70=Parametres!$G$3),I70,C70)</f>
        <v>0.01</v>
      </c>
      <c r="O70" s="151">
        <f>+IF(OR($Q70=Parametres!$G$2,$Q70=Parametres!$G$3),J70,D70)</f>
        <v>0</v>
      </c>
      <c r="P70" s="151">
        <f>+IF(OR($Q70=Parametres!$G$2,$Q70=Parametres!$G$3),K70,E70)</f>
        <v>0.01</v>
      </c>
      <c r="Q70" s="150" t="str">
        <f t="shared" si="7"/>
        <v>1-Mémo</v>
      </c>
      <c r="R70" s="149" t="str">
        <f t="shared" si="8"/>
        <v>132B</v>
      </c>
      <c r="S70" s="150" t="str">
        <f t="shared" si="9"/>
        <v>_</v>
      </c>
      <c r="T70" s="152" t="str">
        <f>+VLOOKUP($L70,Data_Validation!$A:$D,1,0)</f>
        <v>132E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08" t="s">
        <v>1296</v>
      </c>
      <c r="B71" s="708" t="s">
        <v>546</v>
      </c>
      <c r="C71" s="710"/>
      <c r="D71" s="710"/>
      <c r="E71" s="710"/>
      <c r="F71" s="708" t="s">
        <v>1</v>
      </c>
      <c r="G71" s="708" t="s">
        <v>546</v>
      </c>
      <c r="H71" s="664" t="s">
        <v>2997</v>
      </c>
      <c r="I71" s="663">
        <v>0.26</v>
      </c>
      <c r="J71" s="663">
        <v>0.04</v>
      </c>
      <c r="K71" s="663">
        <v>0.3</v>
      </c>
      <c r="L71" s="149" t="str">
        <f t="shared" si="5"/>
        <v>133B</v>
      </c>
      <c r="M71" s="150" t="str">
        <f t="shared" si="6"/>
        <v>NB INV USAGE BMW CAMION 31-60 JRS</v>
      </c>
      <c r="N71" s="151">
        <f>+IF(OR($Q71=Parametres!$G$2,$Q71=Parametres!$G$3),I71,C71)</f>
        <v>0.26</v>
      </c>
      <c r="O71" s="151">
        <f>+IF(OR($Q71=Parametres!$G$2,$Q71=Parametres!$G$3),J71,D71)</f>
        <v>0.04</v>
      </c>
      <c r="P71" s="151">
        <f>+IF(OR($Q71=Parametres!$G$2,$Q71=Parametres!$G$3),K71,E71)</f>
        <v>0.3</v>
      </c>
      <c r="Q71" s="150" t="str">
        <f t="shared" si="7"/>
        <v>1-Mémo</v>
      </c>
      <c r="R71" s="149" t="str">
        <f t="shared" si="8"/>
        <v>133B</v>
      </c>
      <c r="S71" s="150" t="str">
        <f t="shared" si="9"/>
        <v>_</v>
      </c>
      <c r="T71" s="152" t="str">
        <f>+VLOOKUP($L71,Data_Validation!$A:$D,1,0)</f>
        <v>133B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1297</v>
      </c>
      <c r="B72" s="708" t="s">
        <v>547</v>
      </c>
      <c r="C72" s="710"/>
      <c r="D72" s="710"/>
      <c r="E72" s="710"/>
      <c r="F72" s="708" t="s">
        <v>1</v>
      </c>
      <c r="G72" s="708" t="s">
        <v>546</v>
      </c>
      <c r="H72" s="664" t="s">
        <v>2997</v>
      </c>
      <c r="I72" s="663">
        <v>0.12</v>
      </c>
      <c r="J72" s="663">
        <v>0</v>
      </c>
      <c r="K72" s="663">
        <v>0.12</v>
      </c>
      <c r="L72" s="149" t="str">
        <f t="shared" si="5"/>
        <v>133C</v>
      </c>
      <c r="M72" s="150" t="str">
        <f t="shared" si="6"/>
        <v>NB INV USAGE BMW CAMION 61-90 JRS</v>
      </c>
      <c r="N72" s="151">
        <f>+IF(OR($Q72=Parametres!$G$2,$Q72=Parametres!$G$3),I72,C72)</f>
        <v>0.12</v>
      </c>
      <c r="O72" s="151">
        <f>+IF(OR($Q72=Parametres!$G$2,$Q72=Parametres!$G$3),J72,D72)</f>
        <v>0</v>
      </c>
      <c r="P72" s="151">
        <f>+IF(OR($Q72=Parametres!$G$2,$Q72=Parametres!$G$3),K72,E72)</f>
        <v>0.12</v>
      </c>
      <c r="Q72" s="150" t="str">
        <f t="shared" si="7"/>
        <v>1-Mémo</v>
      </c>
      <c r="R72" s="149" t="str">
        <f t="shared" si="8"/>
        <v>133B</v>
      </c>
      <c r="S72" s="150" t="str">
        <f t="shared" si="9"/>
        <v>_</v>
      </c>
      <c r="T72" s="152" t="str">
        <f>+VLOOKUP($L72,Data_Validation!$A:$D,1,0)</f>
        <v>133C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1298</v>
      </c>
      <c r="B73" s="708" t="s">
        <v>548</v>
      </c>
      <c r="C73" s="710"/>
      <c r="D73" s="710"/>
      <c r="E73" s="710"/>
      <c r="F73" s="708" t="s">
        <v>1</v>
      </c>
      <c r="G73" s="708" t="s">
        <v>546</v>
      </c>
      <c r="H73" s="657" t="s">
        <v>2997</v>
      </c>
      <c r="I73" s="656">
        <v>0.08</v>
      </c>
      <c r="J73" s="656">
        <v>0</v>
      </c>
      <c r="K73" s="656">
        <v>0.08</v>
      </c>
      <c r="L73" s="149" t="str">
        <f t="shared" si="5"/>
        <v>133D</v>
      </c>
      <c r="M73" s="150" t="str">
        <f t="shared" si="6"/>
        <v>NB INV USAGE BMW CAMION 91-120 JRS</v>
      </c>
      <c r="N73" s="151">
        <f>+IF(OR($Q73=Parametres!$G$2,$Q73=Parametres!$G$3),I73,C73)</f>
        <v>0.08</v>
      </c>
      <c r="O73" s="151">
        <f>+IF(OR($Q73=Parametres!$G$2,$Q73=Parametres!$G$3),J73,D73)</f>
        <v>0</v>
      </c>
      <c r="P73" s="151">
        <f>+IF(OR($Q73=Parametres!$G$2,$Q73=Parametres!$G$3),K73,E73)</f>
        <v>0.08</v>
      </c>
      <c r="Q73" s="150" t="str">
        <f t="shared" si="7"/>
        <v>1-Mémo</v>
      </c>
      <c r="R73" s="149" t="str">
        <f t="shared" si="8"/>
        <v>133B</v>
      </c>
      <c r="S73" s="150" t="str">
        <f t="shared" si="9"/>
        <v>_</v>
      </c>
      <c r="T73" s="152" t="str">
        <f>+VLOOKUP($L73,Data_Validation!$A:$D,1,0)</f>
        <v>133D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1299</v>
      </c>
      <c r="B74" s="708" t="s">
        <v>549</v>
      </c>
      <c r="C74" s="710"/>
      <c r="D74" s="710"/>
      <c r="E74" s="710"/>
      <c r="F74" s="708" t="s">
        <v>1</v>
      </c>
      <c r="G74" s="708" t="s">
        <v>546</v>
      </c>
      <c r="H74" s="664" t="s">
        <v>2997</v>
      </c>
      <c r="I74" s="663">
        <v>0.12</v>
      </c>
      <c r="J74" s="663">
        <v>0.02</v>
      </c>
      <c r="K74" s="663">
        <v>0.14000000000000001</v>
      </c>
      <c r="L74" s="149" t="str">
        <f t="shared" si="5"/>
        <v>133E</v>
      </c>
      <c r="M74" s="150" t="str">
        <f t="shared" si="6"/>
        <v>NB INV USAGE BMW CAMION 120+ JRS</v>
      </c>
      <c r="N74" s="151">
        <f>+IF(OR($Q74=Parametres!$G$2,$Q74=Parametres!$G$3),I74,C74)</f>
        <v>0.12</v>
      </c>
      <c r="O74" s="151">
        <f>+IF(OR($Q74=Parametres!$G$2,$Q74=Parametres!$G$3),J74,D74)</f>
        <v>0.02</v>
      </c>
      <c r="P74" s="151">
        <f>+IF(OR($Q74=Parametres!$G$2,$Q74=Parametres!$G$3),K74,E74)</f>
        <v>0.14000000000000001</v>
      </c>
      <c r="Q74" s="150" t="str">
        <f t="shared" si="7"/>
        <v>1-Mémo</v>
      </c>
      <c r="R74" s="149" t="str">
        <f t="shared" si="8"/>
        <v>133B</v>
      </c>
      <c r="S74" s="150" t="str">
        <f t="shared" si="9"/>
        <v>_</v>
      </c>
      <c r="T74" s="152" t="str">
        <f>+VLOOKUP($L74,Data_Validation!$A:$D,1,0)</f>
        <v>133E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1300</v>
      </c>
      <c r="B75" s="708" t="s">
        <v>550</v>
      </c>
      <c r="C75" s="710"/>
      <c r="D75" s="710"/>
      <c r="E75" s="710"/>
      <c r="F75" s="708" t="s">
        <v>1</v>
      </c>
      <c r="G75" s="708" t="s">
        <v>550</v>
      </c>
      <c r="H75" s="657" t="s">
        <v>2997</v>
      </c>
      <c r="I75" s="656">
        <v>0.42</v>
      </c>
      <c r="J75" s="656">
        <v>0.02</v>
      </c>
      <c r="K75" s="656">
        <v>0.44</v>
      </c>
      <c r="L75" s="149" t="str">
        <f t="shared" si="5"/>
        <v>138B</v>
      </c>
      <c r="M75" s="150" t="str">
        <f t="shared" si="6"/>
        <v>NB INV USAGE AUTRE 31-60 JRS</v>
      </c>
      <c r="N75" s="151">
        <f>+IF(OR($Q75=Parametres!$G$2,$Q75=Parametres!$G$3),I75,C75)</f>
        <v>0.42</v>
      </c>
      <c r="O75" s="151">
        <f>+IF(OR($Q75=Parametres!$G$2,$Q75=Parametres!$G$3),J75,D75)</f>
        <v>0.02</v>
      </c>
      <c r="P75" s="151">
        <f>+IF(OR($Q75=Parametres!$G$2,$Q75=Parametres!$G$3),K75,E75)</f>
        <v>0.44</v>
      </c>
      <c r="Q75" s="150" t="str">
        <f t="shared" si="7"/>
        <v>1-Mémo</v>
      </c>
      <c r="R75" s="149" t="str">
        <f t="shared" si="8"/>
        <v>138B</v>
      </c>
      <c r="S75" s="150" t="str">
        <f t="shared" si="9"/>
        <v>_</v>
      </c>
      <c r="T75" s="152" t="str">
        <f>+VLOOKUP($L75,Data_Validation!$A:$D,1,0)</f>
        <v>138B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1301</v>
      </c>
      <c r="B76" s="708" t="s">
        <v>551</v>
      </c>
      <c r="C76" s="710"/>
      <c r="D76" s="710"/>
      <c r="E76" s="710"/>
      <c r="F76" s="708" t="s">
        <v>1</v>
      </c>
      <c r="G76" s="708" t="s">
        <v>550</v>
      </c>
      <c r="H76" s="664" t="s">
        <v>2997</v>
      </c>
      <c r="I76" s="663">
        <v>0.27</v>
      </c>
      <c r="J76" s="663">
        <v>0.02</v>
      </c>
      <c r="K76" s="663">
        <v>0.28999999999999998</v>
      </c>
      <c r="L76" s="149" t="str">
        <f t="shared" si="5"/>
        <v>138C</v>
      </c>
      <c r="M76" s="150" t="str">
        <f t="shared" si="6"/>
        <v>NB INV USAGE AUTRE 61-90 JRS</v>
      </c>
      <c r="N76" s="151">
        <f>+IF(OR($Q76=Parametres!$G$2,$Q76=Parametres!$G$3),I76,C76)</f>
        <v>0.27</v>
      </c>
      <c r="O76" s="151">
        <f>+IF(OR($Q76=Parametres!$G$2,$Q76=Parametres!$G$3),J76,D76)</f>
        <v>0.02</v>
      </c>
      <c r="P76" s="151">
        <f>+IF(OR($Q76=Parametres!$G$2,$Q76=Parametres!$G$3),K76,E76)</f>
        <v>0.28999999999999998</v>
      </c>
      <c r="Q76" s="150" t="str">
        <f t="shared" si="7"/>
        <v>1-Mémo</v>
      </c>
      <c r="R76" s="149" t="str">
        <f t="shared" si="8"/>
        <v>138B</v>
      </c>
      <c r="S76" s="150" t="str">
        <f t="shared" si="9"/>
        <v>_</v>
      </c>
      <c r="T76" s="152" t="str">
        <f>+VLOOKUP($L76,Data_Validation!$A:$D,1,0)</f>
        <v>138C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1302</v>
      </c>
      <c r="B77" s="708" t="s">
        <v>552</v>
      </c>
      <c r="C77" s="710"/>
      <c r="D77" s="710"/>
      <c r="E77" s="710"/>
      <c r="F77" s="708" t="s">
        <v>1</v>
      </c>
      <c r="G77" s="708" t="s">
        <v>550</v>
      </c>
      <c r="H77" s="657" t="s">
        <v>2997</v>
      </c>
      <c r="I77" s="656">
        <v>0.12</v>
      </c>
      <c r="J77" s="656">
        <v>0</v>
      </c>
      <c r="K77" s="656">
        <v>0.12</v>
      </c>
      <c r="L77" s="149" t="str">
        <f t="shared" si="5"/>
        <v>138D</v>
      </c>
      <c r="M77" s="150" t="str">
        <f t="shared" si="6"/>
        <v>NB INV USAGE AUTRE 91-120 JRS</v>
      </c>
      <c r="N77" s="151">
        <f>+IF(OR($Q77=Parametres!$G$2,$Q77=Parametres!$G$3),I77,C77)</f>
        <v>0.12</v>
      </c>
      <c r="O77" s="151">
        <f>+IF(OR($Q77=Parametres!$G$2,$Q77=Parametres!$G$3),J77,D77)</f>
        <v>0</v>
      </c>
      <c r="P77" s="151">
        <f>+IF(OR($Q77=Parametres!$G$2,$Q77=Parametres!$G$3),K77,E77)</f>
        <v>0.12</v>
      </c>
      <c r="Q77" s="150" t="str">
        <f t="shared" si="7"/>
        <v>1-Mémo</v>
      </c>
      <c r="R77" s="149" t="str">
        <f t="shared" si="8"/>
        <v>138B</v>
      </c>
      <c r="S77" s="150" t="str">
        <f t="shared" si="9"/>
        <v>_</v>
      </c>
      <c r="T77" s="152" t="str">
        <f>+VLOOKUP($L77,Data_Validation!$A:$D,1,0)</f>
        <v>138D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1303</v>
      </c>
      <c r="B78" s="708" t="s">
        <v>1304</v>
      </c>
      <c r="C78" s="710"/>
      <c r="D78" s="710"/>
      <c r="E78" s="710"/>
      <c r="F78" s="708" t="s">
        <v>1</v>
      </c>
      <c r="G78" s="708" t="s">
        <v>550</v>
      </c>
      <c r="H78" s="664" t="s">
        <v>2997</v>
      </c>
      <c r="I78" s="663">
        <v>0.19</v>
      </c>
      <c r="J78" s="663">
        <v>0</v>
      </c>
      <c r="K78" s="663">
        <v>0.19</v>
      </c>
      <c r="L78" s="149" t="str">
        <f t="shared" si="5"/>
        <v>138E</v>
      </c>
      <c r="M78" s="150" t="str">
        <f t="shared" si="6"/>
        <v>NB INV USAGE AUTRE 120+ JRS</v>
      </c>
      <c r="N78" s="151">
        <f>+IF(OR($Q78=Parametres!$G$2,$Q78=Parametres!$G$3),I78,C78)</f>
        <v>0.19</v>
      </c>
      <c r="O78" s="151">
        <f>+IF(OR($Q78=Parametres!$G$2,$Q78=Parametres!$G$3),J78,D78)</f>
        <v>0</v>
      </c>
      <c r="P78" s="151">
        <f>+IF(OR($Q78=Parametres!$G$2,$Q78=Parametres!$G$3),K78,E78)</f>
        <v>0.19</v>
      </c>
      <c r="Q78" s="150" t="str">
        <f t="shared" si="7"/>
        <v>1-Mémo</v>
      </c>
      <c r="R78" s="149" t="str">
        <f t="shared" si="8"/>
        <v>138B</v>
      </c>
      <c r="S78" s="150" t="str">
        <f t="shared" si="9"/>
        <v>_</v>
      </c>
      <c r="T78" s="152" t="str">
        <f>+VLOOKUP($L78,Data_Validation!$A:$D,1,0)</f>
        <v>138E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1305</v>
      </c>
      <c r="B79" s="708" t="s">
        <v>553</v>
      </c>
      <c r="C79" s="710"/>
      <c r="D79" s="710"/>
      <c r="E79" s="710"/>
      <c r="F79" s="708" t="s">
        <v>1</v>
      </c>
      <c r="G79" s="708" t="s">
        <v>553</v>
      </c>
      <c r="H79" s="664" t="s">
        <v>2997</v>
      </c>
      <c r="I79" s="663">
        <v>993570</v>
      </c>
      <c r="J79" s="663">
        <v>143500</v>
      </c>
      <c r="K79" s="663">
        <v>1137070</v>
      </c>
      <c r="L79" s="149" t="str">
        <f t="shared" si="5"/>
        <v>141B</v>
      </c>
      <c r="M79" s="150" t="str">
        <f t="shared" si="6"/>
        <v>$ INV USAGE BMW CAMION 31-60 JRS</v>
      </c>
      <c r="N79" s="151">
        <f>+IF(OR($Q79=Parametres!$G$2,$Q79=Parametres!$G$3),I79,C79)</f>
        <v>993570</v>
      </c>
      <c r="O79" s="151">
        <f>+IF(OR($Q79=Parametres!$G$2,$Q79=Parametres!$G$3),J79,D79)</f>
        <v>143500</v>
      </c>
      <c r="P79" s="151">
        <f>+IF(OR($Q79=Parametres!$G$2,$Q79=Parametres!$G$3),K79,E79)</f>
        <v>1137070</v>
      </c>
      <c r="Q79" s="150" t="str">
        <f t="shared" si="7"/>
        <v>1-Mémo</v>
      </c>
      <c r="R79" s="149" t="str">
        <f t="shared" si="8"/>
        <v>141B</v>
      </c>
      <c r="S79" s="150" t="str">
        <f t="shared" si="9"/>
        <v>_</v>
      </c>
      <c r="T79" s="152" t="str">
        <f>+VLOOKUP($L79,Data_Validation!$A:$D,1,0)</f>
        <v>141B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1306</v>
      </c>
      <c r="B80" s="708" t="s">
        <v>554</v>
      </c>
      <c r="C80" s="710"/>
      <c r="D80" s="710"/>
      <c r="E80" s="710"/>
      <c r="F80" s="708" t="s">
        <v>1</v>
      </c>
      <c r="G80" s="708" t="s">
        <v>553</v>
      </c>
      <c r="H80" s="600" t="s">
        <v>2997</v>
      </c>
      <c r="I80" s="602">
        <v>602225</v>
      </c>
      <c r="J80" s="602">
        <v>0</v>
      </c>
      <c r="K80" s="602">
        <v>602225</v>
      </c>
      <c r="L80" s="149" t="str">
        <f t="shared" si="5"/>
        <v>141C</v>
      </c>
      <c r="M80" s="150" t="str">
        <f t="shared" si="6"/>
        <v>$ INV USAGE BMW CAMION 61-90 JRS</v>
      </c>
      <c r="N80" s="151">
        <f>+IF(OR($Q80=Parametres!$G$2,$Q80=Parametres!$G$3),I80,C80)</f>
        <v>602225</v>
      </c>
      <c r="O80" s="497">
        <f>+IF(OR($Q80=Parametres!$G$2,$Q80=Parametres!$G$3),J80,D80)</f>
        <v>0</v>
      </c>
      <c r="P80" s="151">
        <f>+IF(OR($Q80=Parametres!$G$2,$Q80=Parametres!$G$3),K80,E80)</f>
        <v>602225</v>
      </c>
      <c r="Q80" s="150" t="str">
        <f t="shared" si="7"/>
        <v>1-Mémo</v>
      </c>
      <c r="R80" s="149" t="str">
        <f t="shared" si="8"/>
        <v>141B</v>
      </c>
      <c r="S80" s="150" t="str">
        <f t="shared" si="9"/>
        <v>_</v>
      </c>
      <c r="T80" s="152" t="str">
        <f>+VLOOKUP($L80,Data_Validation!$A:$D,1,0)</f>
        <v>141C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1307</v>
      </c>
      <c r="B81" s="708" t="s">
        <v>555</v>
      </c>
      <c r="C81" s="710"/>
      <c r="D81" s="710"/>
      <c r="E81" s="710"/>
      <c r="F81" s="708" t="s">
        <v>1</v>
      </c>
      <c r="G81" s="708" t="s">
        <v>553</v>
      </c>
      <c r="H81" s="664" t="s">
        <v>2997</v>
      </c>
      <c r="I81" s="663">
        <v>395907</v>
      </c>
      <c r="J81" s="663">
        <v>0</v>
      </c>
      <c r="K81" s="663">
        <v>395907</v>
      </c>
      <c r="L81" s="149" t="str">
        <f t="shared" si="5"/>
        <v>141D</v>
      </c>
      <c r="M81" s="150" t="str">
        <f t="shared" si="6"/>
        <v>$ INV USAGE BMW CAMION 91-120 JRS</v>
      </c>
      <c r="N81" s="151">
        <f>+IF(OR($Q81=Parametres!$G$2,$Q81=Parametres!$G$3),I81,C81)</f>
        <v>395907</v>
      </c>
      <c r="O81" s="151">
        <f>+IF(OR($Q81=Parametres!$G$2,$Q81=Parametres!$G$3),J81,D81)</f>
        <v>0</v>
      </c>
      <c r="P81" s="151">
        <f>+IF(OR($Q81=Parametres!$G$2,$Q81=Parametres!$G$3),K81,E81)</f>
        <v>395907</v>
      </c>
      <c r="Q81" s="150" t="str">
        <f t="shared" si="7"/>
        <v>1-Mémo</v>
      </c>
      <c r="R81" s="149" t="str">
        <f t="shared" si="8"/>
        <v>141B</v>
      </c>
      <c r="S81" s="150" t="str">
        <f t="shared" si="9"/>
        <v>_</v>
      </c>
      <c r="T81" s="152" t="str">
        <f>+VLOOKUP($L81,Data_Validation!$A:$D,1,0)</f>
        <v>141D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1308</v>
      </c>
      <c r="B82" s="662" t="s">
        <v>556</v>
      </c>
      <c r="C82" s="663"/>
      <c r="D82" s="663"/>
      <c r="E82" s="663"/>
      <c r="F82" s="662" t="s">
        <v>1</v>
      </c>
      <c r="G82" s="662" t="s">
        <v>553</v>
      </c>
      <c r="H82" s="657" t="s">
        <v>2997</v>
      </c>
      <c r="I82" s="656">
        <v>596876</v>
      </c>
      <c r="J82" s="656">
        <v>78000</v>
      </c>
      <c r="K82" s="656">
        <v>674876</v>
      </c>
      <c r="L82" s="149" t="str">
        <f t="shared" si="5"/>
        <v>141E</v>
      </c>
      <c r="M82" s="150" t="str">
        <f t="shared" si="6"/>
        <v>$ INV USAGE BMW CAMION 120+ JRS</v>
      </c>
      <c r="N82" s="151">
        <f>+IF(OR($Q82=Parametres!$G$2,$Q82=Parametres!$G$3),I82,C82)</f>
        <v>596876</v>
      </c>
      <c r="O82" s="151">
        <f>+IF(OR($Q82=Parametres!$G$2,$Q82=Parametres!$G$3),J82,D82)</f>
        <v>78000</v>
      </c>
      <c r="P82" s="151">
        <f>+IF(OR($Q82=Parametres!$G$2,$Q82=Parametres!$G$3),K82,E82)</f>
        <v>674876</v>
      </c>
      <c r="Q82" s="150" t="str">
        <f t="shared" si="7"/>
        <v>1-Mémo</v>
      </c>
      <c r="R82" s="149" t="str">
        <f t="shared" si="8"/>
        <v>141B</v>
      </c>
      <c r="S82" s="150" t="str">
        <f t="shared" si="9"/>
        <v>_</v>
      </c>
      <c r="T82" s="152" t="str">
        <f>+VLOOKUP($L82,Data_Validation!$A:$D,1,0)</f>
        <v>141E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1309</v>
      </c>
      <c r="B83" s="708" t="s">
        <v>557</v>
      </c>
      <c r="C83" s="710"/>
      <c r="D83" s="710"/>
      <c r="E83" s="710"/>
      <c r="F83" s="708" t="s">
        <v>1</v>
      </c>
      <c r="G83" s="708" t="s">
        <v>2451</v>
      </c>
      <c r="H83" s="664" t="s">
        <v>2997</v>
      </c>
      <c r="I83" s="663">
        <v>39604</v>
      </c>
      <c r="J83" s="663">
        <v>0</v>
      </c>
      <c r="K83" s="663">
        <v>39604</v>
      </c>
      <c r="L83" s="149" t="str">
        <f t="shared" si="5"/>
        <v>142B</v>
      </c>
      <c r="M83" s="150" t="str">
        <f t="shared" si="6"/>
        <v>A/R VEHICULES 31-60 JRS</v>
      </c>
      <c r="N83" s="151">
        <f>+IF(OR($Q83=Parametres!$G$2,$Q83=Parametres!$G$3),I83,C83)</f>
        <v>39604</v>
      </c>
      <c r="O83" s="151">
        <f>+IF(OR($Q83=Parametres!$G$2,$Q83=Parametres!$G$3),J83,D83)</f>
        <v>0</v>
      </c>
      <c r="P83" s="151">
        <f>+IF(OR($Q83=Parametres!$G$2,$Q83=Parametres!$G$3),K83,E83)</f>
        <v>39604</v>
      </c>
      <c r="Q83" s="150" t="str">
        <f t="shared" si="7"/>
        <v>1-Mémo</v>
      </c>
      <c r="R83" s="149" t="str">
        <f t="shared" si="8"/>
        <v>142</v>
      </c>
      <c r="S83" s="150" t="str">
        <f t="shared" si="9"/>
        <v>_</v>
      </c>
      <c r="T83" s="152" t="str">
        <f>+VLOOKUP($L83,Data_Validation!$A:$D,1,0)</f>
        <v>142B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1310</v>
      </c>
      <c r="B84" s="708" t="s">
        <v>558</v>
      </c>
      <c r="C84" s="710"/>
      <c r="D84" s="710"/>
      <c r="E84" s="710"/>
      <c r="F84" s="708" t="s">
        <v>1</v>
      </c>
      <c r="G84" s="708" t="s">
        <v>2451</v>
      </c>
      <c r="H84" s="664" t="s">
        <v>2997</v>
      </c>
      <c r="I84" s="663">
        <v>6624</v>
      </c>
      <c r="J84" s="663">
        <v>0</v>
      </c>
      <c r="K84" s="663">
        <v>6624</v>
      </c>
      <c r="L84" s="149" t="str">
        <f t="shared" si="5"/>
        <v>142C</v>
      </c>
      <c r="M84" s="150" t="str">
        <f t="shared" si="6"/>
        <v>A/R VEHICULES 61-90 JRS</v>
      </c>
      <c r="N84" s="151">
        <f>+IF(OR($Q84=Parametres!$G$2,$Q84=Parametres!$G$3),I84,C84)</f>
        <v>6624</v>
      </c>
      <c r="O84" s="151">
        <f>+IF(OR($Q84=Parametres!$G$2,$Q84=Parametres!$G$3),J84,D84)</f>
        <v>0</v>
      </c>
      <c r="P84" s="151">
        <f>+IF(OR($Q84=Parametres!$G$2,$Q84=Parametres!$G$3),K84,E84)</f>
        <v>6624</v>
      </c>
      <c r="Q84" s="150" t="str">
        <f t="shared" si="7"/>
        <v>1-Mémo</v>
      </c>
      <c r="R84" s="149" t="str">
        <f t="shared" si="8"/>
        <v>142</v>
      </c>
      <c r="S84" s="150" t="str">
        <f t="shared" si="9"/>
        <v>_</v>
      </c>
      <c r="T84" s="152" t="str">
        <f>+VLOOKUP($L84,Data_Validation!$A:$D,1,0)</f>
        <v>142C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1311</v>
      </c>
      <c r="B85" s="708" t="s">
        <v>559</v>
      </c>
      <c r="C85" s="710"/>
      <c r="D85" s="710"/>
      <c r="E85" s="710"/>
      <c r="F85" s="708" t="s">
        <v>1</v>
      </c>
      <c r="G85" s="708" t="s">
        <v>2451</v>
      </c>
      <c r="H85" s="664" t="s">
        <v>2997</v>
      </c>
      <c r="I85" s="663">
        <v>1770</v>
      </c>
      <c r="J85" s="663">
        <v>0</v>
      </c>
      <c r="K85" s="663">
        <v>1770</v>
      </c>
      <c r="L85" s="149" t="str">
        <f t="shared" si="5"/>
        <v>142D</v>
      </c>
      <c r="M85" s="150" t="str">
        <f t="shared" si="6"/>
        <v>A/R VEHICULES 91-120 JRS</v>
      </c>
      <c r="N85" s="151">
        <f>+IF(OR($Q85=Parametres!$G$2,$Q85=Parametres!$G$3),I85,C85)</f>
        <v>1770</v>
      </c>
      <c r="O85" s="151">
        <f>+IF(OR($Q85=Parametres!$G$2,$Q85=Parametres!$G$3),J85,D85)</f>
        <v>0</v>
      </c>
      <c r="P85" s="151">
        <f>+IF(OR($Q85=Parametres!$G$2,$Q85=Parametres!$G$3),K85,E85)</f>
        <v>1770</v>
      </c>
      <c r="Q85" s="150" t="str">
        <f t="shared" si="7"/>
        <v>1-Mémo</v>
      </c>
      <c r="R85" s="149" t="str">
        <f t="shared" si="8"/>
        <v>142</v>
      </c>
      <c r="S85" s="150" t="str">
        <f t="shared" si="9"/>
        <v>_</v>
      </c>
      <c r="T85" s="152" t="str">
        <f>+VLOOKUP($L85,Data_Validation!$A:$D,1,0)</f>
        <v>142D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1312</v>
      </c>
      <c r="B86" s="708" t="s">
        <v>560</v>
      </c>
      <c r="C86" s="710"/>
      <c r="D86" s="710"/>
      <c r="E86" s="710"/>
      <c r="F86" s="708" t="s">
        <v>1</v>
      </c>
      <c r="G86" s="708" t="s">
        <v>2451</v>
      </c>
      <c r="H86" s="602" t="s">
        <v>2997</v>
      </c>
      <c r="I86" s="601">
        <v>4853</v>
      </c>
      <c r="J86" s="601">
        <v>0</v>
      </c>
      <c r="K86" s="601">
        <v>4853</v>
      </c>
      <c r="L86" s="149" t="str">
        <f t="shared" si="5"/>
        <v>142E</v>
      </c>
      <c r="M86" s="150" t="str">
        <f t="shared" si="6"/>
        <v>A/R VEHICULES 120 + JRS</v>
      </c>
      <c r="N86" s="151">
        <f>+IF(OR($Q86=Parametres!$G$2,$Q86=Parametres!$G$3),I86,C86)</f>
        <v>4853</v>
      </c>
      <c r="O86" s="151">
        <f>+IF(OR($Q86=Parametres!$G$2,$Q86=Parametres!$G$3),J86,D86)</f>
        <v>0</v>
      </c>
      <c r="P86" s="151">
        <f>+IF(OR($Q86=Parametres!$G$2,$Q86=Parametres!$G$3),K86,E86)</f>
        <v>4853</v>
      </c>
      <c r="Q86" s="150" t="str">
        <f t="shared" si="7"/>
        <v>1-Mémo</v>
      </c>
      <c r="R86" s="149" t="str">
        <f t="shared" si="8"/>
        <v>142</v>
      </c>
      <c r="S86" s="150" t="str">
        <f t="shared" si="9"/>
        <v>_</v>
      </c>
      <c r="T86" s="152" t="str">
        <f>+VLOOKUP($L86,Data_Validation!$A:$D,1,0)</f>
        <v>142E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1313</v>
      </c>
      <c r="B87" s="708" t="s">
        <v>561</v>
      </c>
      <c r="C87" s="709"/>
      <c r="D87" s="709"/>
      <c r="E87" s="709"/>
      <c r="F87" s="708" t="s">
        <v>1</v>
      </c>
      <c r="G87" s="708" t="s">
        <v>2483</v>
      </c>
      <c r="H87" s="709" t="s">
        <v>2997</v>
      </c>
      <c r="I87" s="710">
        <v>21359</v>
      </c>
      <c r="J87" s="710">
        <v>0</v>
      </c>
      <c r="K87" s="710">
        <v>21359</v>
      </c>
      <c r="L87" s="149" t="str">
        <f t="shared" si="5"/>
        <v>143B</v>
      </c>
      <c r="M87" s="150" t="str">
        <f t="shared" si="6"/>
        <v>A/R GARANTIE BMW 31-60 JRS</v>
      </c>
      <c r="N87" s="151">
        <f>+IF(OR($Q87=Parametres!$G$2,$Q87=Parametres!$G$3),I87,C87)</f>
        <v>21359</v>
      </c>
      <c r="O87" s="497">
        <f>+IF(OR($Q87=Parametres!$G$2,$Q87=Parametres!$G$3),J87,D87)</f>
        <v>0</v>
      </c>
      <c r="P87" s="151">
        <f>+IF(OR($Q87=Parametres!$G$2,$Q87=Parametres!$G$3),K87,E87)</f>
        <v>21359</v>
      </c>
      <c r="Q87" s="150" t="str">
        <f t="shared" si="7"/>
        <v>1-Mémo</v>
      </c>
      <c r="R87" s="149" t="str">
        <f t="shared" si="8"/>
        <v>143</v>
      </c>
      <c r="S87" s="150" t="str">
        <f t="shared" si="9"/>
        <v>_</v>
      </c>
      <c r="T87" s="152" t="str">
        <f>+VLOOKUP($L87,Data_Validation!$A:$D,1,0)</f>
        <v>143B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1315</v>
      </c>
      <c r="B88" s="662" t="s">
        <v>563</v>
      </c>
      <c r="C88" s="663"/>
      <c r="D88" s="663"/>
      <c r="E88" s="663"/>
      <c r="F88" s="662" t="s">
        <v>1</v>
      </c>
      <c r="G88" s="662" t="s">
        <v>2483</v>
      </c>
      <c r="H88" s="657" t="s">
        <v>2997</v>
      </c>
      <c r="I88" s="656">
        <v>276</v>
      </c>
      <c r="J88" s="656">
        <v>0</v>
      </c>
      <c r="K88" s="656">
        <v>276</v>
      </c>
      <c r="L88" s="149" t="str">
        <f t="shared" si="5"/>
        <v>143D</v>
      </c>
      <c r="M88" s="150" t="str">
        <f t="shared" si="6"/>
        <v>A/R GARANTIE BMW 91-120 JRS</v>
      </c>
      <c r="N88" s="151">
        <f>+IF(OR($Q88=Parametres!$G$2,$Q88=Parametres!$G$3),I88,C88)</f>
        <v>276</v>
      </c>
      <c r="O88" s="151">
        <f>+IF(OR($Q88=Parametres!$G$2,$Q88=Parametres!$G$3),J88,D88)</f>
        <v>0</v>
      </c>
      <c r="P88" s="151">
        <f>+IF(OR($Q88=Parametres!$G$2,$Q88=Parametres!$G$3),K88,E88)</f>
        <v>276</v>
      </c>
      <c r="Q88" s="150" t="str">
        <f t="shared" si="7"/>
        <v>1-Mémo</v>
      </c>
      <c r="R88" s="149" t="str">
        <f t="shared" si="8"/>
        <v>143</v>
      </c>
      <c r="S88" s="150" t="str">
        <f t="shared" si="9"/>
        <v>_</v>
      </c>
      <c r="T88" s="152" t="str">
        <f>+VLOOKUP($L88,Data_Validation!$A:$D,1,0)</f>
        <v>143D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1316</v>
      </c>
      <c r="B89" s="708" t="s">
        <v>564</v>
      </c>
      <c r="C89" s="710"/>
      <c r="D89" s="710"/>
      <c r="E89" s="710"/>
      <c r="F89" s="708" t="s">
        <v>1</v>
      </c>
      <c r="G89" s="708" t="s">
        <v>2452</v>
      </c>
      <c r="H89" s="664" t="s">
        <v>2997</v>
      </c>
      <c r="I89" s="663">
        <v>137884</v>
      </c>
      <c r="J89" s="663">
        <v>3819</v>
      </c>
      <c r="K89" s="663">
        <v>141703</v>
      </c>
      <c r="L89" s="149" t="str">
        <f t="shared" si="5"/>
        <v>144B</v>
      </c>
      <c r="M89" s="150" t="str">
        <f t="shared" si="6"/>
        <v>A/R PIECES+SERVICE 31-60 JRS</v>
      </c>
      <c r="N89" s="151">
        <f>+IF(OR($Q89=Parametres!$G$2,$Q89=Parametres!$G$3),I89,C89)</f>
        <v>137884</v>
      </c>
      <c r="O89" s="497">
        <f>+IF(OR($Q89=Parametres!$G$2,$Q89=Parametres!$G$3),J89,D89)</f>
        <v>3819</v>
      </c>
      <c r="P89" s="151">
        <f>+IF(OR($Q89=Parametres!$G$2,$Q89=Parametres!$G$3),K89,E89)</f>
        <v>141703</v>
      </c>
      <c r="Q89" s="150" t="str">
        <f t="shared" si="7"/>
        <v>1-Mémo</v>
      </c>
      <c r="R89" s="149" t="str">
        <f t="shared" si="8"/>
        <v>144</v>
      </c>
      <c r="S89" s="150" t="str">
        <f t="shared" si="9"/>
        <v>_</v>
      </c>
      <c r="T89" s="152" t="str">
        <f>+VLOOKUP($L89,Data_Validation!$A:$D,1,0)</f>
        <v>144B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1317</v>
      </c>
      <c r="B90" s="708" t="s">
        <v>565</v>
      </c>
      <c r="C90" s="710"/>
      <c r="D90" s="710"/>
      <c r="E90" s="710"/>
      <c r="F90" s="708" t="s">
        <v>1</v>
      </c>
      <c r="G90" s="708" t="s">
        <v>2452</v>
      </c>
      <c r="H90" s="657" t="s">
        <v>2997</v>
      </c>
      <c r="I90" s="656">
        <v>56068</v>
      </c>
      <c r="J90" s="656">
        <v>2717</v>
      </c>
      <c r="K90" s="656">
        <v>58785</v>
      </c>
      <c r="L90" s="149" t="str">
        <f t="shared" si="5"/>
        <v>144C</v>
      </c>
      <c r="M90" s="150" t="str">
        <f t="shared" si="6"/>
        <v>A/R PIECES+SERVICE 61-90 JRS</v>
      </c>
      <c r="N90" s="151">
        <f>+IF(OR($Q90=Parametres!$G$2,$Q90=Parametres!$G$3),I90,C90)</f>
        <v>56068</v>
      </c>
      <c r="O90" s="151">
        <f>+IF(OR($Q90=Parametres!$G$2,$Q90=Parametres!$G$3),J90,D90)</f>
        <v>2717</v>
      </c>
      <c r="P90" s="151">
        <f>+IF(OR($Q90=Parametres!$G$2,$Q90=Parametres!$G$3),K90,E90)</f>
        <v>58785</v>
      </c>
      <c r="Q90" s="150" t="str">
        <f t="shared" si="7"/>
        <v>1-Mémo</v>
      </c>
      <c r="R90" s="149" t="str">
        <f t="shared" si="8"/>
        <v>144</v>
      </c>
      <c r="S90" s="150" t="str">
        <f t="shared" si="9"/>
        <v>_</v>
      </c>
      <c r="T90" s="152" t="str">
        <f>+VLOOKUP($L90,Data_Validation!$A:$D,1,0)</f>
        <v>144C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1318</v>
      </c>
      <c r="B91" s="708" t="s">
        <v>566</v>
      </c>
      <c r="C91" s="709"/>
      <c r="D91" s="709"/>
      <c r="E91" s="709"/>
      <c r="F91" s="708" t="s">
        <v>1</v>
      </c>
      <c r="G91" s="708" t="s">
        <v>2452</v>
      </c>
      <c r="H91" s="709" t="s">
        <v>2997</v>
      </c>
      <c r="I91" s="710">
        <v>31716</v>
      </c>
      <c r="J91" s="710">
        <v>0</v>
      </c>
      <c r="K91" s="710">
        <v>31716</v>
      </c>
      <c r="L91" s="149" t="str">
        <f t="shared" si="5"/>
        <v>144D</v>
      </c>
      <c r="M91" s="150" t="str">
        <f t="shared" si="6"/>
        <v>A/R PIECES+SERVICE 91-120 JRS</v>
      </c>
      <c r="N91" s="151">
        <f>+IF(OR($Q91=Parametres!$G$2,$Q91=Parametres!$G$3),I91,C91)</f>
        <v>31716</v>
      </c>
      <c r="O91" s="498">
        <f>+IF(OR($Q91=Parametres!$G$2,$Q91=Parametres!$G$3),J91,D91)</f>
        <v>0</v>
      </c>
      <c r="P91" s="151">
        <f>+IF(OR($Q91=Parametres!$G$2,$Q91=Parametres!$G$3),K91,E91)</f>
        <v>31716</v>
      </c>
      <c r="Q91" s="150" t="str">
        <f t="shared" si="7"/>
        <v>1-Mémo</v>
      </c>
      <c r="R91" s="149" t="str">
        <f t="shared" si="8"/>
        <v>144</v>
      </c>
      <c r="S91" s="150" t="str">
        <f t="shared" si="9"/>
        <v>_</v>
      </c>
      <c r="T91" s="152" t="str">
        <f>+VLOOKUP($L91,Data_Validation!$A:$D,1,0)</f>
        <v>144D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1319</v>
      </c>
      <c r="B92" s="708" t="s">
        <v>567</v>
      </c>
      <c r="C92" s="710"/>
      <c r="D92" s="710"/>
      <c r="E92" s="710"/>
      <c r="F92" s="708" t="s">
        <v>1</v>
      </c>
      <c r="G92" s="708" t="s">
        <v>2452</v>
      </c>
      <c r="H92" s="709" t="s">
        <v>2997</v>
      </c>
      <c r="I92" s="709">
        <v>69584</v>
      </c>
      <c r="J92" s="709">
        <v>2005</v>
      </c>
      <c r="K92" s="709">
        <v>71589</v>
      </c>
      <c r="L92" s="149" t="str">
        <f t="shared" si="5"/>
        <v>144E</v>
      </c>
      <c r="M92" s="150" t="str">
        <f t="shared" si="6"/>
        <v>A/R PIECES+SERVICE 120+ JRS</v>
      </c>
      <c r="N92" s="151">
        <f>+IF(OR($Q92=Parametres!$G$2,$Q92=Parametres!$G$3),I92,C92)</f>
        <v>69584</v>
      </c>
      <c r="O92" s="151">
        <f>+IF(OR($Q92=Parametres!$G$2,$Q92=Parametres!$G$3),J92,D92)</f>
        <v>2005</v>
      </c>
      <c r="P92" s="151">
        <f>+IF(OR($Q92=Parametres!$G$2,$Q92=Parametres!$G$3),K92,E92)</f>
        <v>71589</v>
      </c>
      <c r="Q92" s="150" t="str">
        <f t="shared" si="7"/>
        <v>1-Mémo</v>
      </c>
      <c r="R92" s="149" t="str">
        <f t="shared" si="8"/>
        <v>144</v>
      </c>
      <c r="S92" s="150" t="str">
        <f t="shared" si="9"/>
        <v>_</v>
      </c>
      <c r="T92" s="152" t="str">
        <f>+VLOOKUP($L92,Data_Validation!$A:$D,1,0)</f>
        <v>144E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1320</v>
      </c>
      <c r="B93" s="708" t="s">
        <v>568</v>
      </c>
      <c r="C93" s="710"/>
      <c r="D93" s="710"/>
      <c r="E93" s="710"/>
      <c r="F93" s="708" t="s">
        <v>1</v>
      </c>
      <c r="G93" s="708" t="s">
        <v>568</v>
      </c>
      <c r="H93" s="657" t="s">
        <v>2997</v>
      </c>
      <c r="I93" s="656">
        <v>1051751</v>
      </c>
      <c r="J93" s="656">
        <v>0</v>
      </c>
      <c r="K93" s="656">
        <v>1051751</v>
      </c>
      <c r="L93" s="149" t="str">
        <f t="shared" si="5"/>
        <v>145</v>
      </c>
      <c r="M93" s="150" t="str">
        <f t="shared" si="6"/>
        <v>FONDS DE ROULEMENT REQUIS</v>
      </c>
      <c r="N93" s="151">
        <f>+IF(OR($Q93=Parametres!$G$2,$Q93=Parametres!$G$3),I93,C93)</f>
        <v>1051751</v>
      </c>
      <c r="O93" s="151">
        <f>+IF(OR($Q93=Parametres!$G$2,$Q93=Parametres!$G$3),J93,D93)</f>
        <v>0</v>
      </c>
      <c r="P93" s="151">
        <f>+IF(OR($Q93=Parametres!$G$2,$Q93=Parametres!$G$3),K93,E93)</f>
        <v>1051751</v>
      </c>
      <c r="Q93" s="150" t="str">
        <f t="shared" si="7"/>
        <v>1-Mémo</v>
      </c>
      <c r="R93" s="149" t="str">
        <f t="shared" si="8"/>
        <v>145</v>
      </c>
      <c r="S93" s="150" t="str">
        <f t="shared" si="9"/>
        <v>_</v>
      </c>
      <c r="T93" s="152" t="str">
        <f>+VLOOKUP($L93,Data_Validation!$A:$D,1,0)</f>
        <v>145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1321</v>
      </c>
      <c r="B94" s="708" t="s">
        <v>569</v>
      </c>
      <c r="C94" s="710"/>
      <c r="D94" s="710"/>
      <c r="E94" s="710"/>
      <c r="F94" s="708" t="s">
        <v>1</v>
      </c>
      <c r="G94" s="708" t="s">
        <v>569</v>
      </c>
      <c r="H94" s="602" t="s">
        <v>2997</v>
      </c>
      <c r="I94" s="601">
        <v>1159381</v>
      </c>
      <c r="J94" s="601">
        <v>132500</v>
      </c>
      <c r="K94" s="601">
        <v>1291881</v>
      </c>
      <c r="L94" s="149" t="str">
        <f t="shared" si="5"/>
        <v>154B</v>
      </c>
      <c r="M94" s="150" t="str">
        <f t="shared" si="6"/>
        <v>$ INV USAGE BMW AUTO 31-60 JRS</v>
      </c>
      <c r="N94" s="151">
        <f>+IF(OR($Q94=Parametres!$G$2,$Q94=Parametres!$G$3),I94,C94)</f>
        <v>1159381</v>
      </c>
      <c r="O94" s="151">
        <f>+IF(OR($Q94=Parametres!$G$2,$Q94=Parametres!$G$3),J94,D94)</f>
        <v>132500</v>
      </c>
      <c r="P94" s="151">
        <f>+IF(OR($Q94=Parametres!$G$2,$Q94=Parametres!$G$3),K94,E94)</f>
        <v>1291881</v>
      </c>
      <c r="Q94" s="150" t="str">
        <f t="shared" si="7"/>
        <v>1-Mémo</v>
      </c>
      <c r="R94" s="149" t="str">
        <f t="shared" si="8"/>
        <v>154B</v>
      </c>
      <c r="S94" s="150" t="str">
        <f t="shared" si="9"/>
        <v>_</v>
      </c>
      <c r="T94" s="152" t="str">
        <f>+VLOOKUP($L94,Data_Validation!$A:$D,1,0)</f>
        <v>154B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1322</v>
      </c>
      <c r="B95" s="708" t="s">
        <v>570</v>
      </c>
      <c r="C95" s="709"/>
      <c r="D95" s="709"/>
      <c r="E95" s="709"/>
      <c r="F95" s="708" t="s">
        <v>1</v>
      </c>
      <c r="G95" s="708" t="s">
        <v>569</v>
      </c>
      <c r="H95" s="709" t="s">
        <v>2997</v>
      </c>
      <c r="I95" s="710">
        <v>404525</v>
      </c>
      <c r="J95" s="710">
        <v>0</v>
      </c>
      <c r="K95" s="710">
        <v>404525</v>
      </c>
      <c r="L95" s="149" t="str">
        <f t="shared" si="5"/>
        <v>154C</v>
      </c>
      <c r="M95" s="150" t="str">
        <f t="shared" si="6"/>
        <v>$ INV USAGE BMW AUTO 61-90 JRS</v>
      </c>
      <c r="N95" s="151">
        <f>+IF(OR($Q95=Parametres!$G$2,$Q95=Parametres!$G$3),I95,C95)</f>
        <v>404525</v>
      </c>
      <c r="O95" s="151">
        <f>+IF(OR($Q95=Parametres!$G$2,$Q95=Parametres!$G$3),J95,D95)</f>
        <v>0</v>
      </c>
      <c r="P95" s="151">
        <f>+IF(OR($Q95=Parametres!$G$2,$Q95=Parametres!$G$3),K95,E95)</f>
        <v>404525</v>
      </c>
      <c r="Q95" s="150" t="str">
        <f t="shared" si="7"/>
        <v>1-Mémo</v>
      </c>
      <c r="R95" s="149" t="str">
        <f t="shared" si="8"/>
        <v>154B</v>
      </c>
      <c r="S95" s="150" t="str">
        <f t="shared" si="9"/>
        <v>_</v>
      </c>
      <c r="T95" s="152" t="str">
        <f>+VLOOKUP($L95,Data_Validation!$A:$D,1,0)</f>
        <v>154C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1323</v>
      </c>
      <c r="B96" s="708" t="s">
        <v>571</v>
      </c>
      <c r="C96" s="710"/>
      <c r="D96" s="710"/>
      <c r="E96" s="710"/>
      <c r="F96" s="708" t="s">
        <v>1</v>
      </c>
      <c r="G96" s="708" t="s">
        <v>569</v>
      </c>
      <c r="H96" s="664" t="s">
        <v>2997</v>
      </c>
      <c r="I96" s="663">
        <v>358491</v>
      </c>
      <c r="J96" s="663">
        <v>0</v>
      </c>
      <c r="K96" s="663">
        <v>358491</v>
      </c>
      <c r="L96" s="149" t="str">
        <f t="shared" si="5"/>
        <v>154D</v>
      </c>
      <c r="M96" s="150" t="str">
        <f t="shared" si="6"/>
        <v>$ INV USAGE BMW AUTO 91-120 JRS</v>
      </c>
      <c r="N96" s="151">
        <f>+IF(OR($Q96=Parametres!$G$2,$Q96=Parametres!$G$3),I96,C96)</f>
        <v>358491</v>
      </c>
      <c r="O96" s="151">
        <f>+IF(OR($Q96=Parametres!$G$2,$Q96=Parametres!$G$3),J96,D96)</f>
        <v>0</v>
      </c>
      <c r="P96" s="151">
        <f>+IF(OR($Q96=Parametres!$G$2,$Q96=Parametres!$G$3),K96,E96)</f>
        <v>358491</v>
      </c>
      <c r="Q96" s="150" t="str">
        <f t="shared" si="7"/>
        <v>1-Mémo</v>
      </c>
      <c r="R96" s="149" t="str">
        <f t="shared" si="8"/>
        <v>154B</v>
      </c>
      <c r="S96" s="150" t="str">
        <f t="shared" si="9"/>
        <v>_</v>
      </c>
      <c r="T96" s="152" t="str">
        <f>+VLOOKUP($L96,Data_Validation!$A:$D,1,0)</f>
        <v>154D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1324</v>
      </c>
      <c r="B97" s="708" t="s">
        <v>572</v>
      </c>
      <c r="C97" s="710"/>
      <c r="D97" s="710"/>
      <c r="E97" s="710"/>
      <c r="F97" s="708" t="s">
        <v>1</v>
      </c>
      <c r="G97" s="708" t="s">
        <v>569</v>
      </c>
      <c r="H97" s="600" t="s">
        <v>2997</v>
      </c>
      <c r="I97" s="601">
        <v>48725</v>
      </c>
      <c r="J97" s="601">
        <v>0</v>
      </c>
      <c r="K97" s="601">
        <v>48725</v>
      </c>
      <c r="L97" s="149" t="str">
        <f t="shared" si="5"/>
        <v>154E</v>
      </c>
      <c r="M97" s="150" t="str">
        <f t="shared" si="6"/>
        <v>$ INV USAGE BMW AUTO 120+ JRS</v>
      </c>
      <c r="N97" s="151">
        <f>+IF(OR($Q97=Parametres!$G$2,$Q97=Parametres!$G$3),I97,C97)</f>
        <v>48725</v>
      </c>
      <c r="O97" s="497">
        <f>+IF(OR($Q97=Parametres!$G$2,$Q97=Parametres!$G$3),J97,D97)</f>
        <v>0</v>
      </c>
      <c r="P97" s="151">
        <f>+IF(OR($Q97=Parametres!$G$2,$Q97=Parametres!$G$3),K97,E97)</f>
        <v>48725</v>
      </c>
      <c r="Q97" s="150" t="str">
        <f t="shared" si="7"/>
        <v>1-Mémo</v>
      </c>
      <c r="R97" s="149" t="str">
        <f t="shared" si="8"/>
        <v>154B</v>
      </c>
      <c r="S97" s="150" t="str">
        <f t="shared" si="9"/>
        <v>_</v>
      </c>
      <c r="T97" s="152" t="str">
        <f>+VLOOKUP($L97,Data_Validation!$A:$D,1,0)</f>
        <v>154E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1325</v>
      </c>
      <c r="B98" s="708" t="s">
        <v>573</v>
      </c>
      <c r="C98" s="710"/>
      <c r="D98" s="710"/>
      <c r="E98" s="710"/>
      <c r="F98" s="708" t="s">
        <v>1</v>
      </c>
      <c r="G98" s="708" t="s">
        <v>573</v>
      </c>
      <c r="H98" s="664" t="s">
        <v>2997</v>
      </c>
      <c r="I98" s="663">
        <v>0.44</v>
      </c>
      <c r="J98" s="663">
        <v>0.03</v>
      </c>
      <c r="K98" s="663">
        <v>0.47</v>
      </c>
      <c r="L98" s="149" t="str">
        <f t="shared" si="5"/>
        <v>156</v>
      </c>
      <c r="M98" s="150" t="str">
        <f t="shared" si="6"/>
        <v>NB INV + 30 JOURS USAGE BMW AUTO</v>
      </c>
      <c r="N98" s="151">
        <f>+IF(OR($Q98=Parametres!$G$2,$Q98=Parametres!$G$3),I98,C98)</f>
        <v>0.44</v>
      </c>
      <c r="O98" s="151">
        <f>+IF(OR($Q98=Parametres!$G$2,$Q98=Parametres!$G$3),J98,D98)</f>
        <v>0.03</v>
      </c>
      <c r="P98" s="151">
        <f>+IF(OR($Q98=Parametres!$G$2,$Q98=Parametres!$G$3),K98,E98)</f>
        <v>0.47</v>
      </c>
      <c r="Q98" s="150" t="str">
        <f t="shared" si="7"/>
        <v>1-Mémo</v>
      </c>
      <c r="R98" s="149" t="str">
        <f t="shared" si="8"/>
        <v>156</v>
      </c>
      <c r="S98" s="150" t="str">
        <f t="shared" si="9"/>
        <v>_</v>
      </c>
      <c r="T98" s="152" t="str">
        <f>+VLOOKUP($L98,Data_Validation!$A:$D,1,0)</f>
        <v>156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1326</v>
      </c>
      <c r="B99" s="708" t="s">
        <v>574</v>
      </c>
      <c r="C99" s="710"/>
      <c r="D99" s="710"/>
      <c r="E99" s="710"/>
      <c r="F99" s="708" t="s">
        <v>1</v>
      </c>
      <c r="G99" s="708" t="s">
        <v>574</v>
      </c>
      <c r="H99" s="657" t="s">
        <v>2997</v>
      </c>
      <c r="I99" s="656">
        <v>1443163</v>
      </c>
      <c r="J99" s="656">
        <v>53534</v>
      </c>
      <c r="K99" s="656">
        <v>1496697</v>
      </c>
      <c r="L99" s="149" t="str">
        <f t="shared" si="5"/>
        <v>157B</v>
      </c>
      <c r="M99" s="150" t="str">
        <f t="shared" si="6"/>
        <v>$ INV USAGE AUTRE 31-60 JRS</v>
      </c>
      <c r="N99" s="151">
        <f>+IF(OR($Q99=Parametres!$G$2,$Q99=Parametres!$G$3),I99,C99)</f>
        <v>1443163</v>
      </c>
      <c r="O99" s="151">
        <f>+IF(OR($Q99=Parametres!$G$2,$Q99=Parametres!$G$3),J99,D99)</f>
        <v>53534</v>
      </c>
      <c r="P99" s="151">
        <f>+IF(OR($Q99=Parametres!$G$2,$Q99=Parametres!$G$3),K99,E99)</f>
        <v>1496697</v>
      </c>
      <c r="Q99" s="150" t="str">
        <f t="shared" si="7"/>
        <v>1-Mémo</v>
      </c>
      <c r="R99" s="149" t="str">
        <f t="shared" si="8"/>
        <v>157B</v>
      </c>
      <c r="S99" s="150" t="str">
        <f t="shared" si="9"/>
        <v>_</v>
      </c>
      <c r="T99" s="152" t="str">
        <f>+VLOOKUP($L99,Data_Validation!$A:$D,1,0)</f>
        <v>157B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1327</v>
      </c>
      <c r="B100" s="708" t="s">
        <v>575</v>
      </c>
      <c r="C100" s="710"/>
      <c r="D100" s="710"/>
      <c r="E100" s="710"/>
      <c r="F100" s="708" t="s">
        <v>1</v>
      </c>
      <c r="G100" s="708" t="s">
        <v>574</v>
      </c>
      <c r="H100" s="600" t="s">
        <v>2997</v>
      </c>
      <c r="I100" s="153">
        <v>928713</v>
      </c>
      <c r="J100" s="153">
        <v>98000</v>
      </c>
      <c r="K100" s="153">
        <v>1026713</v>
      </c>
      <c r="L100" s="149" t="str">
        <f t="shared" si="5"/>
        <v>157C</v>
      </c>
      <c r="M100" s="150" t="str">
        <f t="shared" si="6"/>
        <v>$ INV USAGE AUTRE 61-90 JRS</v>
      </c>
      <c r="N100" s="151">
        <f>+IF(OR($Q100=Parametres!$G$2,$Q100=Parametres!$G$3),I100,C100)</f>
        <v>928713</v>
      </c>
      <c r="O100" s="497">
        <f>+IF(OR($Q100=Parametres!$G$2,$Q100=Parametres!$G$3),J100,D100)</f>
        <v>98000</v>
      </c>
      <c r="P100" s="151">
        <f>+IF(OR($Q100=Parametres!$G$2,$Q100=Parametres!$G$3),K100,E100)</f>
        <v>1026713</v>
      </c>
      <c r="Q100" s="150" t="str">
        <f t="shared" si="7"/>
        <v>1-Mémo</v>
      </c>
      <c r="R100" s="149" t="str">
        <f t="shared" si="8"/>
        <v>157B</v>
      </c>
      <c r="S100" s="150" t="str">
        <f t="shared" si="9"/>
        <v>_</v>
      </c>
      <c r="T100" s="152" t="str">
        <f>+VLOOKUP($L100,Data_Validation!$A:$D,1,0)</f>
        <v>157C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1328</v>
      </c>
      <c r="B101" s="708" t="s">
        <v>576</v>
      </c>
      <c r="C101" s="710"/>
      <c r="D101" s="710"/>
      <c r="E101" s="710"/>
      <c r="F101" s="708" t="s">
        <v>1</v>
      </c>
      <c r="G101" s="708" t="s">
        <v>574</v>
      </c>
      <c r="H101" s="664" t="s">
        <v>2997</v>
      </c>
      <c r="I101" s="664">
        <v>425735</v>
      </c>
      <c r="J101" s="664">
        <v>0</v>
      </c>
      <c r="K101" s="664">
        <v>425735</v>
      </c>
      <c r="L101" s="149" t="str">
        <f t="shared" si="5"/>
        <v>157D</v>
      </c>
      <c r="M101" s="150" t="str">
        <f t="shared" si="6"/>
        <v>$ INV USAGE AUTRE 91-120 JRS</v>
      </c>
      <c r="N101" s="151">
        <f>+IF(OR($Q101=Parametres!$G$2,$Q101=Parametres!$G$3),I101,C101)</f>
        <v>425735</v>
      </c>
      <c r="O101" s="151">
        <f>+IF(OR($Q101=Parametres!$G$2,$Q101=Parametres!$G$3),J101,D101)</f>
        <v>0</v>
      </c>
      <c r="P101" s="151">
        <f>+IF(OR($Q101=Parametres!$G$2,$Q101=Parametres!$G$3),K101,E101)</f>
        <v>425735</v>
      </c>
      <c r="Q101" s="150" t="str">
        <f t="shared" si="7"/>
        <v>1-Mémo</v>
      </c>
      <c r="R101" s="149" t="str">
        <f t="shared" si="8"/>
        <v>157B</v>
      </c>
      <c r="S101" s="150" t="str">
        <f t="shared" si="9"/>
        <v>_</v>
      </c>
      <c r="T101" s="152" t="str">
        <f>+VLOOKUP($L101,Data_Validation!$A:$D,1,0)</f>
        <v>157D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1329</v>
      </c>
      <c r="B102" s="708" t="s">
        <v>1330</v>
      </c>
      <c r="C102" s="709"/>
      <c r="D102" s="709"/>
      <c r="E102" s="709"/>
      <c r="F102" s="708" t="s">
        <v>1</v>
      </c>
      <c r="G102" s="708" t="s">
        <v>574</v>
      </c>
      <c r="H102" s="709" t="s">
        <v>2997</v>
      </c>
      <c r="I102" s="710">
        <v>331714</v>
      </c>
      <c r="J102" s="710">
        <v>0</v>
      </c>
      <c r="K102" s="710">
        <v>331714</v>
      </c>
      <c r="L102" s="149" t="str">
        <f t="shared" si="5"/>
        <v>157E</v>
      </c>
      <c r="M102" s="150" t="str">
        <f t="shared" si="6"/>
        <v>$ INV USAGE AUTRE 120+ JRS</v>
      </c>
      <c r="N102" s="151">
        <f>+IF(OR($Q102=Parametres!$G$2,$Q102=Parametres!$G$3),I102,C102)</f>
        <v>331714</v>
      </c>
      <c r="O102" s="151">
        <f>+IF(OR($Q102=Parametres!$G$2,$Q102=Parametres!$G$3),J102,D102)</f>
        <v>0</v>
      </c>
      <c r="P102" s="151">
        <f>+IF(OR($Q102=Parametres!$G$2,$Q102=Parametres!$G$3),K102,E102)</f>
        <v>331714</v>
      </c>
      <c r="Q102" s="150" t="str">
        <f t="shared" si="7"/>
        <v>1-Mémo</v>
      </c>
      <c r="R102" s="149" t="str">
        <f t="shared" si="8"/>
        <v>157B</v>
      </c>
      <c r="S102" s="150" t="str">
        <f t="shared" si="9"/>
        <v>_</v>
      </c>
      <c r="T102" s="152" t="str">
        <f>+VLOOKUP($L102,Data_Validation!$A:$D,1,0)</f>
        <v>157E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1331</v>
      </c>
      <c r="B103" s="708" t="s">
        <v>577</v>
      </c>
      <c r="C103" s="710"/>
      <c r="D103" s="710"/>
      <c r="E103" s="710"/>
      <c r="F103" s="708" t="s">
        <v>1</v>
      </c>
      <c r="G103" s="708" t="s">
        <v>577</v>
      </c>
      <c r="H103" s="657" t="s">
        <v>2997</v>
      </c>
      <c r="I103" s="656">
        <v>1</v>
      </c>
      <c r="J103" s="656">
        <v>0</v>
      </c>
      <c r="K103" s="656">
        <v>1</v>
      </c>
      <c r="L103" s="149" t="str">
        <f t="shared" si="5"/>
        <v>160Z</v>
      </c>
      <c r="M103" s="150" t="str">
        <f t="shared" si="6"/>
        <v>NB EMP. PROPRIETAIRE ADMIN.</v>
      </c>
      <c r="N103" s="151">
        <f>+IF(OR($Q103=Parametres!$G$2,$Q103=Parametres!$G$3),I103,C103)</f>
        <v>1</v>
      </c>
      <c r="O103" s="151">
        <f>+IF(OR($Q103=Parametres!$G$2,$Q103=Parametres!$G$3),J103,D103)</f>
        <v>0</v>
      </c>
      <c r="P103" s="151">
        <f>+IF(OR($Q103=Parametres!$G$2,$Q103=Parametres!$G$3),K103,E103)</f>
        <v>1</v>
      </c>
      <c r="Q103" s="150" t="str">
        <f t="shared" si="7"/>
        <v>1-Mémo</v>
      </c>
      <c r="R103" s="149" t="str">
        <f t="shared" si="8"/>
        <v>160Z</v>
      </c>
      <c r="S103" s="150" t="str">
        <f t="shared" si="9"/>
        <v>_</v>
      </c>
      <c r="T103" s="152" t="str">
        <f>+VLOOKUP($L103,Data_Validation!$A:$D,1,0)</f>
        <v>160Z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1332</v>
      </c>
      <c r="B104" s="708" t="s">
        <v>578</v>
      </c>
      <c r="C104" s="710"/>
      <c r="D104" s="710"/>
      <c r="E104" s="710"/>
      <c r="F104" s="708" t="s">
        <v>1</v>
      </c>
      <c r="G104" s="708" t="s">
        <v>2453</v>
      </c>
      <c r="H104" s="664" t="s">
        <v>2997</v>
      </c>
      <c r="I104" s="663">
        <v>0.5</v>
      </c>
      <c r="J104" s="663">
        <v>0</v>
      </c>
      <c r="K104" s="663">
        <v>0.5</v>
      </c>
      <c r="L104" s="149" t="str">
        <f t="shared" si="5"/>
        <v>161A</v>
      </c>
      <c r="M104" s="150" t="str">
        <f t="shared" si="6"/>
        <v>NB EMP. SUPERVISION - NEUF</v>
      </c>
      <c r="N104" s="151">
        <f>+IF(OR($Q104=Parametres!$G$2,$Q104=Parametres!$G$3),I104,C104)</f>
        <v>0.5</v>
      </c>
      <c r="O104" s="151">
        <f>+IF(OR($Q104=Parametres!$G$2,$Q104=Parametres!$G$3),J104,D104)</f>
        <v>0</v>
      </c>
      <c r="P104" s="151">
        <f>+IF(OR($Q104=Parametres!$G$2,$Q104=Parametres!$G$3),K104,E104)</f>
        <v>0.5</v>
      </c>
      <c r="Q104" s="150" t="str">
        <f t="shared" si="7"/>
        <v>1-Mémo</v>
      </c>
      <c r="R104" s="149" t="str">
        <f t="shared" si="8"/>
        <v>161</v>
      </c>
      <c r="S104" s="150" t="str">
        <f t="shared" si="9"/>
        <v>_</v>
      </c>
      <c r="T104" s="152" t="str">
        <f>+VLOOKUP($L104,Data_Validation!$A:$D,1,0)</f>
        <v>161A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1333</v>
      </c>
      <c r="B105" s="708" t="s">
        <v>579</v>
      </c>
      <c r="C105" s="710"/>
      <c r="D105" s="710"/>
      <c r="E105" s="710"/>
      <c r="F105" s="708" t="s">
        <v>1</v>
      </c>
      <c r="G105" s="708" t="s">
        <v>2453</v>
      </c>
      <c r="H105" s="664" t="s">
        <v>2997</v>
      </c>
      <c r="I105" s="664">
        <v>0.5</v>
      </c>
      <c r="J105" s="664">
        <v>0</v>
      </c>
      <c r="K105" s="664">
        <v>0.5</v>
      </c>
      <c r="L105" s="149" t="str">
        <f t="shared" si="5"/>
        <v>161B</v>
      </c>
      <c r="M105" s="150" t="str">
        <f t="shared" si="6"/>
        <v>NB EMP. SUPERVISION - USAGE</v>
      </c>
      <c r="N105" s="151">
        <f>+IF(OR($Q105=Parametres!$G$2,$Q105=Parametres!$G$3),I105,C105)</f>
        <v>0.5</v>
      </c>
      <c r="O105" s="151">
        <f>+IF(OR($Q105=Parametres!$G$2,$Q105=Parametres!$G$3),J105,D105)</f>
        <v>0</v>
      </c>
      <c r="P105" s="151">
        <f>+IF(OR($Q105=Parametres!$G$2,$Q105=Parametres!$G$3),K105,E105)</f>
        <v>0.5</v>
      </c>
      <c r="Q105" s="150" t="str">
        <f t="shared" si="7"/>
        <v>1-Mémo</v>
      </c>
      <c r="R105" s="149" t="str">
        <f t="shared" si="8"/>
        <v>161</v>
      </c>
      <c r="S105" s="150" t="str">
        <f t="shared" si="9"/>
        <v>_</v>
      </c>
      <c r="T105" s="152" t="str">
        <f>+VLOOKUP($L105,Data_Validation!$A:$D,1,0)</f>
        <v>161B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1334</v>
      </c>
      <c r="B106" s="708" t="s">
        <v>580</v>
      </c>
      <c r="C106" s="710"/>
      <c r="D106" s="710"/>
      <c r="E106" s="710"/>
      <c r="F106" s="708" t="s">
        <v>1</v>
      </c>
      <c r="G106" s="708" t="s">
        <v>2453</v>
      </c>
      <c r="H106" s="664" t="s">
        <v>2997</v>
      </c>
      <c r="I106" s="663">
        <v>0.5</v>
      </c>
      <c r="J106" s="663">
        <v>0</v>
      </c>
      <c r="K106" s="663">
        <v>0.5</v>
      </c>
      <c r="L106" s="149" t="str">
        <f t="shared" si="5"/>
        <v>161C</v>
      </c>
      <c r="M106" s="150" t="str">
        <f t="shared" si="6"/>
        <v>NB EMP. SUPERBISION - SERVICE</v>
      </c>
      <c r="N106" s="151">
        <f>+IF(OR($Q106=Parametres!$G$2,$Q106=Parametres!$G$3),I106,C106)</f>
        <v>0.5</v>
      </c>
      <c r="O106" s="151">
        <f>+IF(OR($Q106=Parametres!$G$2,$Q106=Parametres!$G$3),J106,D106)</f>
        <v>0</v>
      </c>
      <c r="P106" s="151">
        <f>+IF(OR($Q106=Parametres!$G$2,$Q106=Parametres!$G$3),K106,E106)</f>
        <v>0.5</v>
      </c>
      <c r="Q106" s="150" t="str">
        <f t="shared" si="7"/>
        <v>1-Mémo</v>
      </c>
      <c r="R106" s="149" t="str">
        <f t="shared" si="8"/>
        <v>161</v>
      </c>
      <c r="S106" s="150" t="str">
        <f t="shared" si="9"/>
        <v>_</v>
      </c>
      <c r="T106" s="152" t="str">
        <f>+VLOOKUP($L106,Data_Validation!$A:$D,1,0)</f>
        <v>161C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1335</v>
      </c>
      <c r="B107" s="708" t="s">
        <v>581</v>
      </c>
      <c r="C107" s="710"/>
      <c r="D107" s="710"/>
      <c r="E107" s="710"/>
      <c r="F107" s="708" t="s">
        <v>1</v>
      </c>
      <c r="G107" s="708" t="s">
        <v>2453</v>
      </c>
      <c r="H107" s="664" t="s">
        <v>2997</v>
      </c>
      <c r="I107" s="663">
        <v>0.5</v>
      </c>
      <c r="J107" s="663">
        <v>0</v>
      </c>
      <c r="K107" s="663">
        <v>0.5</v>
      </c>
      <c r="L107" s="149" t="str">
        <f t="shared" si="5"/>
        <v>161D</v>
      </c>
      <c r="M107" s="150" t="str">
        <f t="shared" si="6"/>
        <v>NB EMP. SUPERVISION - PIECES</v>
      </c>
      <c r="N107" s="151">
        <f>+IF(OR($Q107=Parametres!$G$2,$Q107=Parametres!$G$3),I107,C107)</f>
        <v>0.5</v>
      </c>
      <c r="O107" s="151">
        <f>+IF(OR($Q107=Parametres!$G$2,$Q107=Parametres!$G$3),J107,D107)</f>
        <v>0</v>
      </c>
      <c r="P107" s="151">
        <f>+IF(OR($Q107=Parametres!$G$2,$Q107=Parametres!$G$3),K107,E107)</f>
        <v>0.5</v>
      </c>
      <c r="Q107" s="150" t="str">
        <f t="shared" si="7"/>
        <v>1-Mémo</v>
      </c>
      <c r="R107" s="149" t="str">
        <f t="shared" si="8"/>
        <v>161</v>
      </c>
      <c r="S107" s="150" t="str">
        <f t="shared" si="9"/>
        <v>_</v>
      </c>
      <c r="T107" s="152" t="str">
        <f>+VLOOKUP($L107,Data_Validation!$A:$D,1,0)</f>
        <v>161D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1336</v>
      </c>
      <c r="B108" s="708" t="s">
        <v>582</v>
      </c>
      <c r="C108" s="710"/>
      <c r="D108" s="710"/>
      <c r="E108" s="710"/>
      <c r="F108" s="708" t="s">
        <v>1</v>
      </c>
      <c r="G108" s="708" t="s">
        <v>2453</v>
      </c>
      <c r="H108" s="664" t="s">
        <v>2997</v>
      </c>
      <c r="I108" s="664">
        <v>0.5</v>
      </c>
      <c r="J108" s="664">
        <v>0</v>
      </c>
      <c r="K108" s="664">
        <v>0.5</v>
      </c>
      <c r="L108" s="149" t="str">
        <f t="shared" si="5"/>
        <v>161Z</v>
      </c>
      <c r="M108" s="150" t="str">
        <f t="shared" si="6"/>
        <v>NB EMP. SUPERVISION - ADMIN.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161</v>
      </c>
      <c r="S108" s="150" t="str">
        <f t="shared" si="9"/>
        <v>_</v>
      </c>
      <c r="T108" s="152" t="str">
        <f>+VLOOKUP($L108,Data_Validation!$A:$D,1,0)</f>
        <v>161Z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1337</v>
      </c>
      <c r="B109" s="708" t="s">
        <v>583</v>
      </c>
      <c r="C109" s="710"/>
      <c r="D109" s="710"/>
      <c r="E109" s="710"/>
      <c r="F109" s="708" t="s">
        <v>1</v>
      </c>
      <c r="G109" s="708" t="s">
        <v>583</v>
      </c>
      <c r="H109" s="664" t="s">
        <v>2997</v>
      </c>
      <c r="I109" s="663">
        <v>1</v>
      </c>
      <c r="J109" s="663">
        <v>0</v>
      </c>
      <c r="K109" s="663">
        <v>1</v>
      </c>
      <c r="L109" s="149" t="str">
        <f t="shared" si="5"/>
        <v>164</v>
      </c>
      <c r="M109" s="150" t="str">
        <f t="shared" si="6"/>
        <v>NB EMP. VENDEURS BMW - F&amp;I</v>
      </c>
      <c r="N109" s="151">
        <f>+IF(OR($Q109=Parametres!$G$2,$Q109=Parametres!$G$3),I109,C109)</f>
        <v>1</v>
      </c>
      <c r="O109" s="151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7"/>
        <v>1-Mémo</v>
      </c>
      <c r="R109" s="149" t="str">
        <f t="shared" si="8"/>
        <v>164</v>
      </c>
      <c r="S109" s="150" t="str">
        <f t="shared" si="9"/>
        <v>_</v>
      </c>
      <c r="T109" s="152" t="str">
        <f>+VLOOKUP($L109,Data_Validation!$A:$D,1,0)</f>
        <v>164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1338</v>
      </c>
      <c r="B110" s="708" t="s">
        <v>584</v>
      </c>
      <c r="C110" s="710"/>
      <c r="D110" s="710"/>
      <c r="E110" s="710"/>
      <c r="F110" s="708" t="s">
        <v>1</v>
      </c>
      <c r="G110" s="708" t="s">
        <v>583</v>
      </c>
      <c r="H110" s="664" t="s">
        <v>2997</v>
      </c>
      <c r="I110" s="663">
        <v>2</v>
      </c>
      <c r="J110" s="663">
        <v>0</v>
      </c>
      <c r="K110" s="663">
        <v>2</v>
      </c>
      <c r="L110" s="149" t="str">
        <f t="shared" si="5"/>
        <v>164A</v>
      </c>
      <c r="M110" s="150" t="str">
        <f t="shared" si="6"/>
        <v>NB EMP. VENDEURS BMW - NEUF</v>
      </c>
      <c r="N110" s="151">
        <f>+IF(OR($Q110=Parametres!$G$2,$Q110=Parametres!$G$3),I110,C110)</f>
        <v>2</v>
      </c>
      <c r="O110" s="151">
        <f>+IF(OR($Q110=Parametres!$G$2,$Q110=Parametres!$G$3),J110,D110)</f>
        <v>0</v>
      </c>
      <c r="P110" s="151">
        <f>+IF(OR($Q110=Parametres!$G$2,$Q110=Parametres!$G$3),K110,E110)</f>
        <v>2</v>
      </c>
      <c r="Q110" s="150" t="str">
        <f t="shared" si="7"/>
        <v>1-Mémo</v>
      </c>
      <c r="R110" s="149" t="str">
        <f t="shared" si="8"/>
        <v>164</v>
      </c>
      <c r="S110" s="150" t="str">
        <f t="shared" si="9"/>
        <v>_</v>
      </c>
      <c r="T110" s="152" t="str">
        <f>+VLOOKUP($L110,Data_Validation!$A:$D,1,0)</f>
        <v>164A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1339</v>
      </c>
      <c r="B111" s="708" t="s">
        <v>585</v>
      </c>
      <c r="C111" s="710"/>
      <c r="D111" s="710"/>
      <c r="E111" s="710"/>
      <c r="F111" s="708" t="s">
        <v>1</v>
      </c>
      <c r="G111" s="708" t="s">
        <v>583</v>
      </c>
      <c r="H111" s="602" t="s">
        <v>2997</v>
      </c>
      <c r="I111" s="601">
        <v>2</v>
      </c>
      <c r="J111" s="601">
        <v>0</v>
      </c>
      <c r="K111" s="601">
        <v>2</v>
      </c>
      <c r="L111" s="149" t="str">
        <f t="shared" si="5"/>
        <v>164B</v>
      </c>
      <c r="M111" s="150" t="str">
        <f t="shared" si="6"/>
        <v>NB EMP. VENDEURS BMW - USAGE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164</v>
      </c>
      <c r="S111" s="150" t="str">
        <f t="shared" si="9"/>
        <v>_</v>
      </c>
      <c r="T111" s="152" t="str">
        <f>+VLOOKUP($L111,Data_Validation!$A:$D,1,0)</f>
        <v>164B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1340</v>
      </c>
      <c r="B112" s="708" t="s">
        <v>586</v>
      </c>
      <c r="C112" s="709"/>
      <c r="D112" s="709"/>
      <c r="E112" s="709"/>
      <c r="F112" s="708" t="s">
        <v>1</v>
      </c>
      <c r="G112" s="708" t="s">
        <v>586</v>
      </c>
      <c r="H112" s="709" t="s">
        <v>2997</v>
      </c>
      <c r="I112" s="710">
        <v>3</v>
      </c>
      <c r="J112" s="710">
        <v>0</v>
      </c>
      <c r="K112" s="710">
        <v>3</v>
      </c>
      <c r="L112" s="149" t="str">
        <f t="shared" si="5"/>
        <v>164D</v>
      </c>
      <c r="M112" s="150" t="str">
        <f t="shared" si="6"/>
        <v>NB EMP. COMMIS COMPTOIR - PIECES</v>
      </c>
      <c r="N112" s="151">
        <f>+IF(OR($Q112=Parametres!$G$2,$Q112=Parametres!$G$3),I112,C112)</f>
        <v>3</v>
      </c>
      <c r="O112" s="497">
        <f>+IF(OR($Q112=Parametres!$G$2,$Q112=Parametres!$G$3),J112,D112)</f>
        <v>0</v>
      </c>
      <c r="P112" s="151">
        <f>+IF(OR($Q112=Parametres!$G$2,$Q112=Parametres!$G$3),K112,E112)</f>
        <v>3</v>
      </c>
      <c r="Q112" s="150" t="str">
        <f t="shared" si="7"/>
        <v>1-Mémo</v>
      </c>
      <c r="R112" s="149" t="str">
        <f t="shared" si="8"/>
        <v>164D</v>
      </c>
      <c r="S112" s="150" t="str">
        <f t="shared" si="9"/>
        <v>_</v>
      </c>
      <c r="T112" s="152" t="str">
        <f>+VLOOKUP($L112,Data_Validation!$A:$D,1,0)</f>
        <v>164D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1999</v>
      </c>
      <c r="B113" s="708" t="s">
        <v>2000</v>
      </c>
      <c r="C113" s="710"/>
      <c r="D113" s="710"/>
      <c r="E113" s="710"/>
      <c r="F113" s="708" t="s">
        <v>1</v>
      </c>
      <c r="G113" s="708" t="s">
        <v>2001</v>
      </c>
      <c r="H113" s="709" t="s">
        <v>2997</v>
      </c>
      <c r="I113" s="709">
        <v>0.5</v>
      </c>
      <c r="J113" s="709">
        <v>0</v>
      </c>
      <c r="K113" s="709">
        <v>0.5</v>
      </c>
      <c r="L113" s="149" t="str">
        <f t="shared" si="5"/>
        <v>166A</v>
      </c>
      <c r="M113" s="150" t="str">
        <f t="shared" si="6"/>
        <v>NB EMP. AUTRES - NEUF</v>
      </c>
      <c r="N113" s="151">
        <f>+IF(OR($Q113=Parametres!$G$2,$Q113=Parametres!$G$3),I113,C113)</f>
        <v>0.5</v>
      </c>
      <c r="O113" s="151">
        <f>+IF(OR($Q113=Parametres!$G$2,$Q113=Parametres!$G$3),J113,D113)</f>
        <v>0</v>
      </c>
      <c r="P113" s="151">
        <f>+IF(OR($Q113=Parametres!$G$2,$Q113=Parametres!$G$3),K113,E113)</f>
        <v>0.5</v>
      </c>
      <c r="Q113" s="150" t="str">
        <f t="shared" si="7"/>
        <v>1-Mémo</v>
      </c>
      <c r="R113" s="149" t="str">
        <f t="shared" si="8"/>
        <v>166</v>
      </c>
      <c r="S113" s="150" t="str">
        <f t="shared" si="9"/>
        <v>_</v>
      </c>
      <c r="T113" s="152" t="str">
        <f>+VLOOKUP($L113,Data_Validation!$A:$D,1,0)</f>
        <v>166A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2002</v>
      </c>
      <c r="B114" s="708" t="s">
        <v>2003</v>
      </c>
      <c r="C114" s="709"/>
      <c r="D114" s="709"/>
      <c r="E114" s="709"/>
      <c r="F114" s="708" t="s">
        <v>1</v>
      </c>
      <c r="G114" s="708" t="s">
        <v>2001</v>
      </c>
      <c r="H114" s="709" t="s">
        <v>2997</v>
      </c>
      <c r="I114" s="710">
        <v>0.5</v>
      </c>
      <c r="J114" s="710">
        <v>0</v>
      </c>
      <c r="K114" s="710">
        <v>0.5</v>
      </c>
      <c r="L114" s="149" t="str">
        <f t="shared" si="5"/>
        <v>166B</v>
      </c>
      <c r="M114" s="150" t="str">
        <f t="shared" si="6"/>
        <v>NB EMP. AUTRES - USAGE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166</v>
      </c>
      <c r="S114" s="150" t="str">
        <f t="shared" si="9"/>
        <v>_</v>
      </c>
      <c r="T114" s="152" t="str">
        <f>+VLOOKUP($L114,Data_Validation!$A:$D,1,0)</f>
        <v>166B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1341</v>
      </c>
      <c r="B115" s="708" t="s">
        <v>587</v>
      </c>
      <c r="C115" s="710"/>
      <c r="D115" s="710"/>
      <c r="E115" s="710"/>
      <c r="F115" s="708" t="s">
        <v>1</v>
      </c>
      <c r="G115" s="708" t="s">
        <v>2001</v>
      </c>
      <c r="H115" s="664" t="s">
        <v>2997</v>
      </c>
      <c r="I115" s="664">
        <v>6.5</v>
      </c>
      <c r="J115" s="664">
        <v>0</v>
      </c>
      <c r="K115" s="664">
        <v>6.5</v>
      </c>
      <c r="L115" s="149" t="str">
        <f t="shared" si="5"/>
        <v>166C</v>
      </c>
      <c r="M115" s="150" t="str">
        <f t="shared" si="6"/>
        <v>NB EMP. AUTRES - SERVICE</v>
      </c>
      <c r="N115" s="151">
        <f>+IF(OR($Q115=Parametres!$G$2,$Q115=Parametres!$G$3),I115,C115)</f>
        <v>6.5</v>
      </c>
      <c r="O115" s="151">
        <f>+IF(OR($Q115=Parametres!$G$2,$Q115=Parametres!$G$3),J115,D115)</f>
        <v>0</v>
      </c>
      <c r="P115" s="151">
        <f>+IF(OR($Q115=Parametres!$G$2,$Q115=Parametres!$G$3),K115,E115)</f>
        <v>6.5</v>
      </c>
      <c r="Q115" s="150" t="str">
        <f t="shared" si="7"/>
        <v>1-Mémo</v>
      </c>
      <c r="R115" s="149" t="str">
        <f t="shared" si="8"/>
        <v>166</v>
      </c>
      <c r="S115" s="150" t="str">
        <f t="shared" si="9"/>
        <v>_</v>
      </c>
      <c r="T115" s="152" t="str">
        <f>+VLOOKUP($L115,Data_Validation!$A:$D,1,0)</f>
        <v>166C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1342</v>
      </c>
      <c r="B116" s="708" t="s">
        <v>588</v>
      </c>
      <c r="C116" s="710"/>
      <c r="D116" s="710"/>
      <c r="E116" s="710"/>
      <c r="F116" s="708" t="s">
        <v>1</v>
      </c>
      <c r="G116" s="708" t="s">
        <v>2001</v>
      </c>
      <c r="H116" s="657" t="s">
        <v>2997</v>
      </c>
      <c r="I116" s="656">
        <v>2</v>
      </c>
      <c r="J116" s="656">
        <v>0</v>
      </c>
      <c r="K116" s="656">
        <v>2</v>
      </c>
      <c r="L116" s="149" t="str">
        <f t="shared" si="5"/>
        <v>166Z</v>
      </c>
      <c r="M116" s="150" t="str">
        <f t="shared" si="6"/>
        <v>NB EMP. AUTRES - ADMIN.</v>
      </c>
      <c r="N116" s="151">
        <f>+IF(OR($Q116=Parametres!$G$2,$Q116=Parametres!$G$3),I116,C116)</f>
        <v>2</v>
      </c>
      <c r="O116" s="151">
        <f>+IF(OR($Q116=Parametres!$G$2,$Q116=Parametres!$G$3),J116,D116)</f>
        <v>0</v>
      </c>
      <c r="P116" s="151">
        <f>+IF(OR($Q116=Parametres!$G$2,$Q116=Parametres!$G$3),K116,E116)</f>
        <v>2</v>
      </c>
      <c r="Q116" s="150" t="str">
        <f t="shared" si="7"/>
        <v>1-Mémo</v>
      </c>
      <c r="R116" s="149" t="str">
        <f t="shared" si="8"/>
        <v>166</v>
      </c>
      <c r="S116" s="150" t="str">
        <f t="shared" si="9"/>
        <v>_</v>
      </c>
      <c r="T116" s="152" t="str">
        <f>+VLOOKUP($L116,Data_Validation!$A:$D,1,0)</f>
        <v>166Z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1343</v>
      </c>
      <c r="B117" s="708" t="s">
        <v>589</v>
      </c>
      <c r="C117" s="709"/>
      <c r="D117" s="709"/>
      <c r="E117" s="709"/>
      <c r="F117" s="708" t="s">
        <v>1</v>
      </c>
      <c r="G117" s="708" t="s">
        <v>2459</v>
      </c>
      <c r="H117" s="709" t="s">
        <v>2997</v>
      </c>
      <c r="I117" s="710">
        <v>7</v>
      </c>
      <c r="J117" s="710">
        <v>0</v>
      </c>
      <c r="K117" s="710">
        <v>7</v>
      </c>
      <c r="L117" s="149" t="str">
        <f t="shared" si="5"/>
        <v>170C</v>
      </c>
      <c r="M117" s="150" t="str">
        <f t="shared" si="6"/>
        <v>NB EMP. MECANICIENS - SERVICE</v>
      </c>
      <c r="N117" s="151">
        <f>+IF(OR($Q117=Parametres!$G$2,$Q117=Parametres!$G$3),I117,C117)</f>
        <v>7</v>
      </c>
      <c r="O117" s="151">
        <f>+IF(OR($Q117=Parametres!$G$2,$Q117=Parametres!$G$3),J117,D117)</f>
        <v>0</v>
      </c>
      <c r="P117" s="151">
        <f>+IF(OR($Q117=Parametres!$G$2,$Q117=Parametres!$G$3),K117,E117)</f>
        <v>7</v>
      </c>
      <c r="Q117" s="150" t="str">
        <f t="shared" si="7"/>
        <v>1-Mémo</v>
      </c>
      <c r="R117" s="149" t="str">
        <f t="shared" si="8"/>
        <v>170</v>
      </c>
      <c r="S117" s="150" t="str">
        <f t="shared" si="9"/>
        <v>_</v>
      </c>
      <c r="T117" s="152" t="str">
        <f>+VLOOKUP($L117,Data_Validation!$A:$D,1,0)</f>
        <v>170C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2004</v>
      </c>
      <c r="B118" s="708" t="s">
        <v>2005</v>
      </c>
      <c r="C118" s="710"/>
      <c r="D118" s="710"/>
      <c r="E118" s="710"/>
      <c r="F118" s="708" t="s">
        <v>1</v>
      </c>
      <c r="G118" s="708" t="s">
        <v>2998</v>
      </c>
      <c r="H118" s="664" t="s">
        <v>2997</v>
      </c>
      <c r="I118" s="663">
        <v>2</v>
      </c>
      <c r="J118" s="663">
        <v>0</v>
      </c>
      <c r="K118" s="663">
        <v>2</v>
      </c>
      <c r="L118" s="149" t="str">
        <f t="shared" si="5"/>
        <v>171C</v>
      </c>
      <c r="M118" s="150" t="str">
        <f t="shared" si="6"/>
        <v>NB EMP. APPRENTIS - SERVICE</v>
      </c>
      <c r="N118" s="151">
        <f>+IF(OR($Q118=Parametres!$G$2,$Q118=Parametres!$G$3),I118,C118)</f>
        <v>2</v>
      </c>
      <c r="O118" s="151">
        <f>+IF(OR($Q118=Parametres!$G$2,$Q118=Parametres!$G$3),J118,D118)</f>
        <v>0</v>
      </c>
      <c r="P118" s="151">
        <f>+IF(OR($Q118=Parametres!$G$2,$Q118=Parametres!$G$3),K118,E118)</f>
        <v>2</v>
      </c>
      <c r="Q118" s="150" t="str">
        <f t="shared" si="7"/>
        <v>1-Mémo</v>
      </c>
      <c r="R118" s="149" t="str">
        <f t="shared" si="8"/>
        <v>171</v>
      </c>
      <c r="S118" s="150" t="str">
        <f t="shared" si="9"/>
        <v>_</v>
      </c>
      <c r="T118" s="152" t="str">
        <f>+VLOOKUP($L118,Data_Validation!$A:$D,1,0)</f>
        <v>171C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1344</v>
      </c>
      <c r="B119" s="708" t="s">
        <v>1345</v>
      </c>
      <c r="C119" s="709"/>
      <c r="D119" s="709"/>
      <c r="E119" s="709"/>
      <c r="F119" s="708" t="s">
        <v>1</v>
      </c>
      <c r="G119" s="708" t="s">
        <v>1345</v>
      </c>
      <c r="H119" s="709" t="s">
        <v>2997</v>
      </c>
      <c r="I119" s="710">
        <v>0.08</v>
      </c>
      <c r="J119" s="710">
        <v>0</v>
      </c>
      <c r="K119" s="710">
        <v>0.08</v>
      </c>
      <c r="L119" s="149" t="str">
        <f t="shared" si="5"/>
        <v>172M</v>
      </c>
      <c r="M119" s="150" t="str">
        <f t="shared" si="6"/>
        <v># DE BAIE DE TECHNICIEN</v>
      </c>
      <c r="N119" s="151">
        <f>+IF(OR($Q119=Parametres!$G$2,$Q119=Parametres!$G$3),I119,C119)</f>
        <v>0.08</v>
      </c>
      <c r="O119" s="151">
        <f>+IF(OR($Q119=Parametres!$G$2,$Q119=Parametres!$G$3),J119,D119)</f>
        <v>0</v>
      </c>
      <c r="P119" s="151">
        <f>+IF(OR($Q119=Parametres!$G$2,$Q119=Parametres!$G$3),K119,E119)</f>
        <v>0.08</v>
      </c>
      <c r="Q119" s="150" t="str">
        <f t="shared" si="7"/>
        <v>1-Mémo</v>
      </c>
      <c r="R119" s="149" t="str">
        <f t="shared" si="8"/>
        <v>172M</v>
      </c>
      <c r="S119" s="150" t="str">
        <f t="shared" si="9"/>
        <v>_</v>
      </c>
      <c r="T119" s="152" t="str">
        <f>+VLOOKUP($L119,Data_Validation!$A:$D,1,0)</f>
        <v>172M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1346</v>
      </c>
      <c r="B120" s="708" t="s">
        <v>1347</v>
      </c>
      <c r="C120" s="710"/>
      <c r="D120" s="710"/>
      <c r="E120" s="710"/>
      <c r="F120" s="708" t="s">
        <v>1</v>
      </c>
      <c r="G120" s="708" t="s">
        <v>1347</v>
      </c>
      <c r="H120" s="664" t="s">
        <v>2997</v>
      </c>
      <c r="I120" s="663">
        <v>0.04</v>
      </c>
      <c r="J120" s="663">
        <v>0</v>
      </c>
      <c r="K120" s="663">
        <v>0.04</v>
      </c>
      <c r="L120" s="149" t="str">
        <f t="shared" si="5"/>
        <v>172N</v>
      </c>
      <c r="M120" s="150" t="str">
        <f t="shared" si="6"/>
        <v># DE BAIE DE LAVAGE</v>
      </c>
      <c r="N120" s="151">
        <f>+IF(OR($Q120=Parametres!$G$2,$Q120=Parametres!$G$3),I120,C120)</f>
        <v>0.04</v>
      </c>
      <c r="O120" s="151">
        <f>+IF(OR($Q120=Parametres!$G$2,$Q120=Parametres!$G$3),J120,D120)</f>
        <v>0</v>
      </c>
      <c r="P120" s="151">
        <f>+IF(OR($Q120=Parametres!$G$2,$Q120=Parametres!$G$3),K120,E120)</f>
        <v>0.04</v>
      </c>
      <c r="Q120" s="150" t="str">
        <f t="shared" si="7"/>
        <v>1-Mémo</v>
      </c>
      <c r="R120" s="149" t="str">
        <f t="shared" si="8"/>
        <v>172N</v>
      </c>
      <c r="S120" s="150" t="str">
        <f t="shared" si="9"/>
        <v>_</v>
      </c>
      <c r="T120" s="152" t="str">
        <f>+VLOOKUP($L120,Data_Validation!$A:$D,1,0)</f>
        <v>172N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1348</v>
      </c>
      <c r="B121" s="708" t="s">
        <v>590</v>
      </c>
      <c r="C121" s="710"/>
      <c r="D121" s="710"/>
      <c r="E121" s="710"/>
      <c r="F121" s="708" t="s">
        <v>1</v>
      </c>
      <c r="G121" s="708" t="s">
        <v>2454</v>
      </c>
      <c r="H121" s="657" t="s">
        <v>2997</v>
      </c>
      <c r="I121" s="656">
        <v>2</v>
      </c>
      <c r="J121" s="656">
        <v>0</v>
      </c>
      <c r="K121" s="656">
        <v>2</v>
      </c>
      <c r="L121" s="149" t="str">
        <f t="shared" si="5"/>
        <v>173C</v>
      </c>
      <c r="M121" s="150" t="str">
        <f t="shared" si="6"/>
        <v>NB EMP. AVISEURS - SERVICE</v>
      </c>
      <c r="N121" s="151">
        <f>+IF(OR($Q121=Parametres!$G$2,$Q121=Parametres!$G$3),I121,C121)</f>
        <v>2</v>
      </c>
      <c r="O121" s="151">
        <f>+IF(OR($Q121=Parametres!$G$2,$Q121=Parametres!$G$3),J121,D121)</f>
        <v>0</v>
      </c>
      <c r="P121" s="151">
        <f>+IF(OR($Q121=Parametres!$G$2,$Q121=Parametres!$G$3),K121,E121)</f>
        <v>2</v>
      </c>
      <c r="Q121" s="150" t="str">
        <f t="shared" si="7"/>
        <v>1-Mémo</v>
      </c>
      <c r="R121" s="149" t="str">
        <f t="shared" si="8"/>
        <v>173</v>
      </c>
      <c r="S121" s="150" t="str">
        <f t="shared" si="9"/>
        <v>_</v>
      </c>
      <c r="T121" s="152" t="str">
        <f>+VLOOKUP($L121,Data_Validation!$A:$D,1,0)</f>
        <v>173C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1349</v>
      </c>
      <c r="B122" s="708" t="s">
        <v>591</v>
      </c>
      <c r="C122" s="710"/>
      <c r="D122" s="710"/>
      <c r="E122" s="710"/>
      <c r="F122" s="708" t="s">
        <v>1</v>
      </c>
      <c r="G122" s="708" t="s">
        <v>2455</v>
      </c>
      <c r="H122" s="664" t="s">
        <v>2997</v>
      </c>
      <c r="I122" s="663">
        <v>189.95</v>
      </c>
      <c r="J122" s="663">
        <v>0</v>
      </c>
      <c r="K122" s="663">
        <v>189.95</v>
      </c>
      <c r="L122" s="149" t="str">
        <f t="shared" si="5"/>
        <v>175A</v>
      </c>
      <c r="M122" s="150" t="str">
        <f t="shared" si="6"/>
        <v>TAUX M/O CLIENT BMW</v>
      </c>
      <c r="N122" s="151">
        <f>+IF(OR($Q122=Parametres!$G$2,$Q122=Parametres!$G$3),I122,C122)</f>
        <v>189.95</v>
      </c>
      <c r="O122" s="497">
        <f>+IF(OR($Q122=Parametres!$G$2,$Q122=Parametres!$G$3),J122,D122)</f>
        <v>0</v>
      </c>
      <c r="P122" s="151">
        <f>+IF(OR($Q122=Parametres!$G$2,$Q122=Parametres!$G$3),K122,E122)</f>
        <v>189.95</v>
      </c>
      <c r="Q122" s="150" t="str">
        <f t="shared" si="7"/>
        <v>1-Mémo</v>
      </c>
      <c r="R122" s="149" t="str">
        <f t="shared" si="8"/>
        <v>175</v>
      </c>
      <c r="S122" s="150" t="str">
        <f t="shared" si="9"/>
        <v>_</v>
      </c>
      <c r="T122" s="152" t="str">
        <f>+VLOOKUP($L122,Data_Validation!$A:$D,1,0)</f>
        <v>175A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1350</v>
      </c>
      <c r="B123" s="708" t="s">
        <v>592</v>
      </c>
      <c r="C123" s="710"/>
      <c r="D123" s="710"/>
      <c r="E123" s="710"/>
      <c r="F123" s="708" t="s">
        <v>1</v>
      </c>
      <c r="G123" s="708" t="s">
        <v>2456</v>
      </c>
      <c r="H123" s="600" t="s">
        <v>2997</v>
      </c>
      <c r="I123" s="153">
        <v>140.34</v>
      </c>
      <c r="J123" s="153">
        <v>0</v>
      </c>
      <c r="K123" s="153">
        <v>140.34</v>
      </c>
      <c r="L123" s="149" t="str">
        <f t="shared" si="5"/>
        <v>176A</v>
      </c>
      <c r="M123" s="150" t="str">
        <f t="shared" si="6"/>
        <v>TAUX M/O GARANTIE BMW</v>
      </c>
      <c r="N123" s="151">
        <f>+IF(OR($Q123=Parametres!$G$2,$Q123=Parametres!$G$3),I123,C123)</f>
        <v>140.34</v>
      </c>
      <c r="O123" s="497">
        <f>+IF(OR($Q123=Parametres!$G$2,$Q123=Parametres!$G$3),J123,D123)</f>
        <v>0</v>
      </c>
      <c r="P123" s="151">
        <f>+IF(OR($Q123=Parametres!$G$2,$Q123=Parametres!$G$3),K123,E123)</f>
        <v>140.34</v>
      </c>
      <c r="Q123" s="150" t="str">
        <f t="shared" si="7"/>
        <v>1-Mémo</v>
      </c>
      <c r="R123" s="149" t="str">
        <f t="shared" si="8"/>
        <v>176</v>
      </c>
      <c r="S123" s="150" t="str">
        <f t="shared" si="9"/>
        <v>_</v>
      </c>
      <c r="T123" s="152" t="str">
        <f>+VLOOKUP($L123,Data_Validation!$A:$D,1,0)</f>
        <v>176A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1351</v>
      </c>
      <c r="B124" s="708" t="s">
        <v>593</v>
      </c>
      <c r="C124" s="710"/>
      <c r="D124" s="710"/>
      <c r="E124" s="710"/>
      <c r="F124" s="708" t="s">
        <v>1</v>
      </c>
      <c r="G124" s="708" t="s">
        <v>2457</v>
      </c>
      <c r="H124" s="602" t="s">
        <v>2997</v>
      </c>
      <c r="I124" s="601">
        <v>189.95</v>
      </c>
      <c r="J124" s="601">
        <v>0</v>
      </c>
      <c r="K124" s="601">
        <v>189.95</v>
      </c>
      <c r="L124" s="149" t="str">
        <f t="shared" si="5"/>
        <v>177A</v>
      </c>
      <c r="M124" s="150" t="str">
        <f t="shared" si="6"/>
        <v>TAUX M/O INTERNE BMW</v>
      </c>
      <c r="N124" s="151">
        <f>+IF(OR($Q124=Parametres!$G$2,$Q124=Parametres!$G$3),I124,C124)</f>
        <v>189.95</v>
      </c>
      <c r="O124" s="151">
        <f>+IF(OR($Q124=Parametres!$G$2,$Q124=Parametres!$G$3),J124,D124)</f>
        <v>0</v>
      </c>
      <c r="P124" s="151">
        <f>+IF(OR($Q124=Parametres!$G$2,$Q124=Parametres!$G$3),K124,E124)</f>
        <v>189.95</v>
      </c>
      <c r="Q124" s="150" t="str">
        <f t="shared" si="7"/>
        <v>1-Mémo</v>
      </c>
      <c r="R124" s="149" t="str">
        <f t="shared" si="8"/>
        <v>177</v>
      </c>
      <c r="S124" s="150" t="str">
        <f t="shared" si="9"/>
        <v>_</v>
      </c>
      <c r="T124" s="152" t="str">
        <f>+VLOOKUP($L124,Data_Validation!$A:$D,1,0)</f>
        <v>177A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1352</v>
      </c>
      <c r="B125" s="708" t="s">
        <v>1353</v>
      </c>
      <c r="C125" s="710"/>
      <c r="D125" s="710"/>
      <c r="E125" s="710"/>
      <c r="F125" s="708" t="s">
        <v>1</v>
      </c>
      <c r="G125" s="708" t="s">
        <v>2457</v>
      </c>
      <c r="H125" s="600" t="s">
        <v>2997</v>
      </c>
      <c r="I125" s="601">
        <v>80</v>
      </c>
      <c r="J125" s="601">
        <v>0</v>
      </c>
      <c r="K125" s="601">
        <v>80</v>
      </c>
      <c r="L125" s="149" t="str">
        <f t="shared" si="5"/>
        <v>177S</v>
      </c>
      <c r="M125" s="150" t="str">
        <f t="shared" si="6"/>
        <v>TAUX M/O PROGRAMME SPA BMW</v>
      </c>
      <c r="N125" s="151">
        <f>+IF(OR($Q125=Parametres!$G$2,$Q125=Parametres!$G$3),I125,C125)</f>
        <v>80</v>
      </c>
      <c r="O125" s="151">
        <f>+IF(OR($Q125=Parametres!$G$2,$Q125=Parametres!$G$3),J125,D125)</f>
        <v>0</v>
      </c>
      <c r="P125" s="151">
        <f>+IF(OR($Q125=Parametres!$G$2,$Q125=Parametres!$G$3),K125,E125)</f>
        <v>80</v>
      </c>
      <c r="Q125" s="150" t="str">
        <f t="shared" si="7"/>
        <v>1-Mémo</v>
      </c>
      <c r="R125" s="149" t="str">
        <f t="shared" si="8"/>
        <v>177</v>
      </c>
      <c r="S125" s="150" t="str">
        <f t="shared" si="9"/>
        <v>_</v>
      </c>
      <c r="T125" s="152" t="str">
        <f>+VLOOKUP($L125,Data_Validation!$A:$D,1,0)</f>
        <v>177S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1354</v>
      </c>
      <c r="B126" s="708" t="s">
        <v>594</v>
      </c>
      <c r="C126" s="710"/>
      <c r="D126" s="710"/>
      <c r="E126" s="710"/>
      <c r="F126" s="708" t="s">
        <v>1</v>
      </c>
      <c r="G126" s="708" t="s">
        <v>2458</v>
      </c>
      <c r="H126" s="664" t="s">
        <v>2997</v>
      </c>
      <c r="I126" s="664">
        <v>139.13999999999999</v>
      </c>
      <c r="J126" s="664">
        <v>0.31</v>
      </c>
      <c r="K126" s="664">
        <v>139.44999999999999</v>
      </c>
      <c r="L126" s="149" t="str">
        <f t="shared" si="5"/>
        <v>178D</v>
      </c>
      <c r="M126" s="150" t="str">
        <f t="shared" si="6"/>
        <v>PRODUCTIVITE TECHNICIEN</v>
      </c>
      <c r="N126" s="151">
        <f>+IF(OR($Q126=Parametres!$G$2,$Q126=Parametres!$G$3),I126,C126)</f>
        <v>139.13999999999999</v>
      </c>
      <c r="O126" s="497">
        <f>+IF(OR($Q126=Parametres!$G$2,$Q126=Parametres!$G$3),J126,D126)</f>
        <v>0.31</v>
      </c>
      <c r="P126" s="151">
        <f>+IF(OR($Q126=Parametres!$G$2,$Q126=Parametres!$G$3),K126,E126)</f>
        <v>139.44999999999999</v>
      </c>
      <c r="Q126" s="150" t="str">
        <f t="shared" si="7"/>
        <v>1-Mémo</v>
      </c>
      <c r="R126" s="149" t="str">
        <f t="shared" si="8"/>
        <v>178</v>
      </c>
      <c r="S126" s="150" t="str">
        <f t="shared" si="9"/>
        <v>_</v>
      </c>
      <c r="T126" s="152" t="str">
        <f>+VLOOKUP($L126,Data_Validation!$A:$D,1,0)</f>
        <v>178D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1355</v>
      </c>
      <c r="B127" s="708" t="s">
        <v>595</v>
      </c>
      <c r="C127" s="710"/>
      <c r="D127" s="710"/>
      <c r="E127" s="710"/>
      <c r="F127" s="708" t="s">
        <v>1</v>
      </c>
      <c r="G127" s="708" t="s">
        <v>595</v>
      </c>
      <c r="H127" s="664" t="s">
        <v>2997</v>
      </c>
      <c r="I127" s="663">
        <v>2.1</v>
      </c>
      <c r="J127" s="663">
        <v>0.2</v>
      </c>
      <c r="K127" s="663">
        <v>2.2999999999999998</v>
      </c>
      <c r="L127" s="149" t="str">
        <f t="shared" si="5"/>
        <v>179</v>
      </c>
      <c r="M127" s="150" t="str">
        <f t="shared" si="6"/>
        <v>NOMBRE DE JOURS OUVRABLE SERVICE</v>
      </c>
      <c r="N127" s="151">
        <f>+IF(OR($Q127=Parametres!$G$2,$Q127=Parametres!$G$3),I127,C127)</f>
        <v>2.1</v>
      </c>
      <c r="O127" s="497">
        <f>+IF(OR($Q127=Parametres!$G$2,$Q127=Parametres!$G$3),J127,D127)</f>
        <v>0.2</v>
      </c>
      <c r="P127" s="151">
        <f>+IF(OR($Q127=Parametres!$G$2,$Q127=Parametres!$G$3),K127,E127)</f>
        <v>2.2999999999999998</v>
      </c>
      <c r="Q127" s="150" t="str">
        <f t="shared" si="7"/>
        <v>1-Mémo</v>
      </c>
      <c r="R127" s="149" t="str">
        <f t="shared" si="8"/>
        <v>179</v>
      </c>
      <c r="S127" s="150" t="str">
        <f t="shared" si="9"/>
        <v>_</v>
      </c>
      <c r="T127" s="152" t="str">
        <f>+VLOOKUP($L127,Data_Validation!$A:$D,1,0)</f>
        <v>179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1941</v>
      </c>
      <c r="B128" s="708" t="s">
        <v>1942</v>
      </c>
      <c r="C128" s="709">
        <v>-263724.90000000002</v>
      </c>
      <c r="D128" s="709">
        <v>263724.90000000002</v>
      </c>
      <c r="E128" s="709">
        <v>0</v>
      </c>
      <c r="F128" s="708" t="s">
        <v>2225</v>
      </c>
      <c r="G128" s="708" t="s">
        <v>2245</v>
      </c>
      <c r="H128" s="709" t="s">
        <v>2997</v>
      </c>
      <c r="I128" s="710"/>
      <c r="J128" s="710"/>
      <c r="K128" s="710"/>
      <c r="L128" s="149" t="str">
        <f t="shared" si="5"/>
        <v>279A</v>
      </c>
      <c r="M128" s="150" t="str">
        <f t="shared" si="6"/>
        <v>INTERCO</v>
      </c>
      <c r="N128" s="151">
        <f>+IF(OR($Q128=Parametres!$G$2,$Q128=Parametres!$G$3),I128,C128)</f>
        <v>-263724.90000000002</v>
      </c>
      <c r="O128" s="151">
        <f>+IF(OR($Q128=Parametres!$G$2,$Q128=Parametres!$G$3),J128,D128)</f>
        <v>263724.90000000002</v>
      </c>
      <c r="P128" s="151">
        <f>+IF(OR($Q128=Parametres!$G$2,$Q128=Parametres!$G$3),K128,E128)</f>
        <v>0</v>
      </c>
      <c r="Q128" s="150" t="str">
        <f t="shared" si="7"/>
        <v>2-Actifs</v>
      </c>
      <c r="R128" s="149" t="str">
        <f t="shared" si="8"/>
        <v>270</v>
      </c>
      <c r="S128" s="150" t="str">
        <f t="shared" si="9"/>
        <v>_</v>
      </c>
      <c r="T128" s="152" t="str">
        <f>+VLOOKUP($L128,Data_Validation!$A:$D,1,0)</f>
        <v>279A</v>
      </c>
      <c r="U128" s="152" t="str">
        <f>+VLOOKUP($L128,Data_Validation!$A:$D,3,0)</f>
        <v>Bilan</v>
      </c>
      <c r="V128" s="152" t="str">
        <f>+VLOOKUP($L128,Data_Validation!$A:$D,4,0)</f>
        <v>Payables Intercos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08" t="s">
        <v>362</v>
      </c>
      <c r="B129" s="708" t="s">
        <v>1147</v>
      </c>
      <c r="C129" s="710">
        <v>-31013</v>
      </c>
      <c r="D129" s="710">
        <v>3385.21</v>
      </c>
      <c r="E129" s="710">
        <v>-27627.79</v>
      </c>
      <c r="F129" s="708" t="s">
        <v>2225</v>
      </c>
      <c r="G129" s="708" t="s">
        <v>421</v>
      </c>
      <c r="H129" s="664" t="s">
        <v>2997</v>
      </c>
      <c r="I129" s="663"/>
      <c r="J129" s="663"/>
      <c r="K129" s="663"/>
      <c r="L129" s="149" t="str">
        <f t="shared" si="5"/>
        <v>243F</v>
      </c>
      <c r="M129" s="150" t="str">
        <f t="shared" si="6"/>
        <v>AJUSTEMENT INVENTAIRE PIECES</v>
      </c>
      <c r="N129" s="151">
        <f>+IF(OR($Q129=Parametres!$G$2,$Q129=Parametres!$G$3),I129,C129)</f>
        <v>-31013</v>
      </c>
      <c r="O129" s="151">
        <f>+IF(OR($Q129=Parametres!$G$2,$Q129=Parametres!$G$3),J129,D129)</f>
        <v>3385.21</v>
      </c>
      <c r="P129" s="151">
        <f>+IF(OR($Q129=Parametres!$G$2,$Q129=Parametres!$G$3),K129,E129)</f>
        <v>-27627.79</v>
      </c>
      <c r="Q129" s="150" t="str">
        <f t="shared" si="7"/>
        <v>2-Actifs</v>
      </c>
      <c r="R129" s="149" t="str">
        <f t="shared" si="8"/>
        <v>243A</v>
      </c>
      <c r="S129" s="150" t="str">
        <f t="shared" si="9"/>
        <v>_</v>
      </c>
      <c r="T129" s="152" t="str">
        <f>+VLOOKUP($L129,Data_Validation!$A:$D,1,0)</f>
        <v>243F</v>
      </c>
      <c r="U129" s="152" t="str">
        <f>+VLOOKUP($L129,Data_Validation!$A:$D,3,0)</f>
        <v>Bilan</v>
      </c>
      <c r="V129" s="152" t="str">
        <f>+VLOOKUP($L129,Data_Validation!$A:$D,4,0)</f>
        <v>Inventaire Pièces, Pneus, Huile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08" t="s">
        <v>2937</v>
      </c>
      <c r="B130" s="708" t="s">
        <v>2938</v>
      </c>
      <c r="C130" s="710">
        <v>-10000</v>
      </c>
      <c r="D130" s="710">
        <v>0</v>
      </c>
      <c r="E130" s="710">
        <v>-10000</v>
      </c>
      <c r="F130" s="708" t="s">
        <v>2225</v>
      </c>
      <c r="G130" s="708" t="s">
        <v>372</v>
      </c>
      <c r="H130" s="664" t="s">
        <v>2997</v>
      </c>
      <c r="I130" s="663"/>
      <c r="J130" s="663"/>
      <c r="K130" s="663"/>
      <c r="L130" s="149" t="str">
        <f t="shared" ref="L130:L193" si="10">+B130</f>
        <v>220C</v>
      </c>
      <c r="M130" s="150" t="str">
        <f t="shared" ref="M130:M193" si="11">+A130</f>
        <v>RECEVABLE RECOURS COLLECTIF</v>
      </c>
      <c r="N130" s="151">
        <f>+IF(OR($Q130=Parametres!$G$2,$Q130=Parametres!$G$3),I130,C130)</f>
        <v>-10000</v>
      </c>
      <c r="O130" s="151">
        <f>+IF(OR($Q130=Parametres!$G$2,$Q130=Parametres!$G$3),J130,D130)</f>
        <v>0</v>
      </c>
      <c r="P130" s="151">
        <f>+IF(OR($Q130=Parametres!$G$2,$Q130=Parametres!$G$3),K130,E130)</f>
        <v>-10000</v>
      </c>
      <c r="Q130" s="150" t="str">
        <f t="shared" ref="Q130:Q193" si="12">+F130</f>
        <v>2-Actifs</v>
      </c>
      <c r="R130" s="149" t="str">
        <f t="shared" ref="R130:R193" si="13">+G130</f>
        <v>220</v>
      </c>
      <c r="S130" s="150" t="str">
        <f t="shared" ref="S130:S193" si="14">+H130</f>
        <v>_</v>
      </c>
      <c r="T130" s="152" t="str">
        <f>+VLOOKUP($L130,Data_Validation!$A:$D,1,0)</f>
        <v>220C</v>
      </c>
      <c r="U130" s="152" t="str">
        <f>+VLOOKUP($L130,Data_Validation!$A:$D,3,0)</f>
        <v>Bilan</v>
      </c>
      <c r="V130" s="152" t="str">
        <f>+VLOOKUP($L130,Data_Validation!$A:$D,4,0)</f>
        <v>Autres Courus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1779</v>
      </c>
      <c r="B131" s="708" t="s">
        <v>1780</v>
      </c>
      <c r="C131" s="710">
        <v>-3402.9</v>
      </c>
      <c r="D131" s="710">
        <v>375.73</v>
      </c>
      <c r="E131" s="710">
        <v>-3027.17</v>
      </c>
      <c r="F131" s="708" t="s">
        <v>2225</v>
      </c>
      <c r="G131" s="708" t="s">
        <v>2245</v>
      </c>
      <c r="H131" s="664" t="s">
        <v>2997</v>
      </c>
      <c r="I131" s="663"/>
      <c r="J131" s="663"/>
      <c r="K131" s="663"/>
      <c r="L131" s="149" t="str">
        <f t="shared" si="10"/>
        <v>270B</v>
      </c>
      <c r="M131" s="150" t="str">
        <f t="shared" si="11"/>
        <v>ELECTRICITE PAYES D'AVANCE</v>
      </c>
      <c r="N131" s="151">
        <f>+IF(OR($Q131=Parametres!$G$2,$Q131=Parametres!$G$3),I131,C131)</f>
        <v>-3402.9</v>
      </c>
      <c r="O131" s="151">
        <f>+IF(OR($Q131=Parametres!$G$2,$Q131=Parametres!$G$3),J131,D131)</f>
        <v>375.73</v>
      </c>
      <c r="P131" s="151">
        <f>+IF(OR($Q131=Parametres!$G$2,$Q131=Parametres!$G$3),K131,E131)</f>
        <v>-3027.17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270B</v>
      </c>
      <c r="U131" s="152" t="str">
        <f>+VLOOKUP($L131,Data_Validation!$A:$D,3,0)</f>
        <v>Bilan</v>
      </c>
      <c r="V131" s="152" t="str">
        <f>+VLOOKUP($L131,Data_Validation!$A:$D,4,0)</f>
        <v>Autres Comptes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405</v>
      </c>
      <c r="B132" s="708" t="s">
        <v>406</v>
      </c>
      <c r="C132" s="710">
        <v>-2557.9699999999998</v>
      </c>
      <c r="D132" s="710">
        <v>2721.97</v>
      </c>
      <c r="E132" s="710">
        <v>164</v>
      </c>
      <c r="F132" s="708" t="s">
        <v>2225</v>
      </c>
      <c r="G132" s="708" t="s">
        <v>386</v>
      </c>
      <c r="H132" s="664" t="s">
        <v>2997</v>
      </c>
      <c r="I132" s="663"/>
      <c r="J132" s="663"/>
      <c r="K132" s="663"/>
      <c r="L132" s="149" t="str">
        <f t="shared" si="10"/>
        <v>279B</v>
      </c>
      <c r="M132" s="150" t="str">
        <f t="shared" si="11"/>
        <v>FPA AUTRES</v>
      </c>
      <c r="N132" s="151">
        <f>+IF(OR($Q132=Parametres!$G$2,$Q132=Parametres!$G$3),I132,C132)</f>
        <v>-2557.9699999999998</v>
      </c>
      <c r="O132" s="151">
        <f>+IF(OR($Q132=Parametres!$G$2,$Q132=Parametres!$G$3),J132,D132)</f>
        <v>2721.97</v>
      </c>
      <c r="P132" s="151">
        <f>+IF(OR($Q132=Parametres!$G$2,$Q132=Parametres!$G$3),K132,E132)</f>
        <v>164</v>
      </c>
      <c r="Q132" s="150" t="str">
        <f t="shared" si="12"/>
        <v>2-Actifs</v>
      </c>
      <c r="R132" s="149" t="str">
        <f t="shared" si="13"/>
        <v>274</v>
      </c>
      <c r="S132" s="150" t="str">
        <f t="shared" si="14"/>
        <v>_</v>
      </c>
      <c r="T132" s="152" t="str">
        <f>+VLOOKUP($L132,Data_Validation!$A:$D,1,0)</f>
        <v>279B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2196</v>
      </c>
      <c r="B133" s="708" t="s">
        <v>2197</v>
      </c>
      <c r="C133" s="710">
        <v>-590.69000000000005</v>
      </c>
      <c r="D133" s="710">
        <v>-47626.400000000001</v>
      </c>
      <c r="E133" s="710">
        <v>-48217.09</v>
      </c>
      <c r="F133" s="708" t="s">
        <v>2225</v>
      </c>
      <c r="G133" s="708" t="s">
        <v>372</v>
      </c>
      <c r="H133" s="664" t="s">
        <v>2997</v>
      </c>
      <c r="I133" s="663"/>
      <c r="J133" s="663"/>
      <c r="K133" s="663"/>
      <c r="L133" s="149" t="str">
        <f t="shared" si="10"/>
        <v>220L</v>
      </c>
      <c r="M133" s="150" t="str">
        <f t="shared" si="11"/>
        <v>A/R INTERCOS P&amp;S</v>
      </c>
      <c r="N133" s="151">
        <f>+IF(OR($Q133=Parametres!$G$2,$Q133=Parametres!$G$3),I133,C133)</f>
        <v>-590.69000000000005</v>
      </c>
      <c r="O133" s="151">
        <f>+IF(OR($Q133=Parametres!$G$2,$Q133=Parametres!$G$3),J133,D133)</f>
        <v>-47626.400000000001</v>
      </c>
      <c r="P133" s="151">
        <f>+IF(OR($Q133=Parametres!$G$2,$Q133=Parametres!$G$3),K133,E133)</f>
        <v>-48217.09</v>
      </c>
      <c r="Q133" s="150" t="str">
        <f t="shared" si="12"/>
        <v>2-Actifs</v>
      </c>
      <c r="R133" s="149" t="str">
        <f t="shared" si="13"/>
        <v>220</v>
      </c>
      <c r="S133" s="150" t="str">
        <f t="shared" si="14"/>
        <v>_</v>
      </c>
      <c r="T133" s="152" t="str">
        <f>+VLOOKUP($L133,Data_Validation!$A:$D,1,0)</f>
        <v>220L</v>
      </c>
      <c r="U133" s="152" t="str">
        <f>+VLOOKUP($L133,Data_Validation!$A:$D,3,0)</f>
        <v>Bilan</v>
      </c>
      <c r="V133" s="152" t="str">
        <f>+VLOOKUP($L133,Data_Validation!$A:$D,4,0)</f>
        <v>Recevables Intercos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2338</v>
      </c>
      <c r="B134" s="708" t="s">
        <v>2339</v>
      </c>
      <c r="C134" s="710">
        <v>0</v>
      </c>
      <c r="D134" s="710">
        <v>377000</v>
      </c>
      <c r="E134" s="710">
        <v>377000</v>
      </c>
      <c r="F134" s="708" t="s">
        <v>2225</v>
      </c>
      <c r="G134" s="708" t="s">
        <v>375</v>
      </c>
      <c r="H134" s="664" t="s">
        <v>2997</v>
      </c>
      <c r="I134" s="663"/>
      <c r="J134" s="663"/>
      <c r="K134" s="663"/>
      <c r="L134" s="149" t="str">
        <f t="shared" si="10"/>
        <v>210L</v>
      </c>
      <c r="M134" s="150" t="str">
        <f t="shared" si="11"/>
        <v>A/R INTERCO WHOLESALE &amp; ECHANGE</v>
      </c>
      <c r="N134" s="151">
        <f>+IF(OR($Q134=Parametres!$G$2,$Q134=Parametres!$G$3),I134,C134)</f>
        <v>0</v>
      </c>
      <c r="O134" s="151">
        <f>+IF(OR($Q134=Parametres!$G$2,$Q134=Parametres!$G$3),J134,D134)</f>
        <v>377000</v>
      </c>
      <c r="P134" s="151">
        <f>+IF(OR($Q134=Parametres!$G$2,$Q134=Parametres!$G$3),K134,E134)</f>
        <v>377000</v>
      </c>
      <c r="Q134" s="150" t="str">
        <f t="shared" si="12"/>
        <v>2-Actifs</v>
      </c>
      <c r="R134" s="149" t="str">
        <f t="shared" si="13"/>
        <v>210</v>
      </c>
      <c r="S134" s="150" t="str">
        <f t="shared" si="14"/>
        <v>_</v>
      </c>
      <c r="T134" s="152" t="str">
        <f>+VLOOKUP($L134,Data_Validation!$A:$D,1,0)</f>
        <v>210L</v>
      </c>
      <c r="U134" s="152" t="str">
        <f>+VLOOKUP($L134,Data_Validation!$A:$D,3,0)</f>
        <v>bilan</v>
      </c>
      <c r="V134" s="152" t="str">
        <f>+VLOOKUP($L134,Data_Validation!$A:$D,4,0)</f>
        <v>Recevables Intercos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1192</v>
      </c>
      <c r="B135" s="708" t="s">
        <v>881</v>
      </c>
      <c r="C135" s="710">
        <v>390.49</v>
      </c>
      <c r="D135" s="710">
        <v>-390.49</v>
      </c>
      <c r="E135" s="710">
        <v>0</v>
      </c>
      <c r="F135" s="708" t="s">
        <v>2225</v>
      </c>
      <c r="G135" s="708" t="s">
        <v>881</v>
      </c>
      <c r="H135" s="664" t="s">
        <v>2997</v>
      </c>
      <c r="I135" s="663"/>
      <c r="J135" s="663"/>
      <c r="K135" s="663"/>
      <c r="L135" s="149" t="str">
        <f t="shared" si="10"/>
        <v>247</v>
      </c>
      <c r="M135" s="150" t="str">
        <f t="shared" si="11"/>
        <v>INV. SOUS TRAITANCE</v>
      </c>
      <c r="N135" s="151">
        <f>+IF(OR($Q135=Parametres!$G$2,$Q135=Parametres!$G$3),I135,C135)</f>
        <v>390.49</v>
      </c>
      <c r="O135" s="151">
        <f>+IF(OR($Q135=Parametres!$G$2,$Q135=Parametres!$G$3),J135,D135)</f>
        <v>-390.49</v>
      </c>
      <c r="P135" s="151">
        <f>+IF(OR($Q135=Parametres!$G$2,$Q135=Parametres!$G$3),K135,E135)</f>
        <v>0</v>
      </c>
      <c r="Q135" s="150" t="str">
        <f t="shared" si="12"/>
        <v>2-Actifs</v>
      </c>
      <c r="R135" s="149" t="str">
        <f t="shared" si="13"/>
        <v>247</v>
      </c>
      <c r="S135" s="150" t="str">
        <f t="shared" si="14"/>
        <v>_</v>
      </c>
      <c r="T135" s="152" t="str">
        <f>+VLOOKUP($L135,Data_Validation!$A:$D,1,0)</f>
        <v>247</v>
      </c>
      <c r="U135" s="152" t="str">
        <f>+VLOOKUP($L135,Data_Validation!$A:$D,3,0)</f>
        <v>Bilan</v>
      </c>
      <c r="V135" s="152" t="str">
        <f>+VLOOKUP($L135,Data_Validation!$A:$D,4,0)</f>
        <v>Sous-Traitance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358</v>
      </c>
      <c r="B136" s="708" t="s">
        <v>371</v>
      </c>
      <c r="C136" s="709">
        <v>700</v>
      </c>
      <c r="D136" s="709">
        <v>0</v>
      </c>
      <c r="E136" s="709">
        <v>700</v>
      </c>
      <c r="F136" s="708" t="s">
        <v>2225</v>
      </c>
      <c r="G136" s="708" t="s">
        <v>371</v>
      </c>
      <c r="H136" s="709" t="s">
        <v>2997</v>
      </c>
      <c r="I136" s="710"/>
      <c r="J136" s="710"/>
      <c r="K136" s="710"/>
      <c r="L136" s="149" t="str">
        <f t="shared" si="10"/>
        <v>200</v>
      </c>
      <c r="M136" s="150" t="str">
        <f t="shared" si="11"/>
        <v>PETITE CAISSE</v>
      </c>
      <c r="N136" s="151">
        <f>+IF(OR($Q136=Parametres!$G$2,$Q136=Parametres!$G$3),I136,C136)</f>
        <v>700</v>
      </c>
      <c r="O136" s="151">
        <f>+IF(OR($Q136=Parametres!$G$2,$Q136=Parametres!$G$3),J136,D136)</f>
        <v>0</v>
      </c>
      <c r="P136" s="151">
        <f>+IF(OR($Q136=Parametres!$G$2,$Q136=Parametres!$G$3),K136,E136)</f>
        <v>700</v>
      </c>
      <c r="Q136" s="150" t="str">
        <f t="shared" si="12"/>
        <v>2-Actifs</v>
      </c>
      <c r="R136" s="149" t="str">
        <f t="shared" si="13"/>
        <v>200</v>
      </c>
      <c r="S136" s="150" t="str">
        <f t="shared" si="14"/>
        <v>_</v>
      </c>
      <c r="T136" s="152" t="str">
        <f>+VLOOKUP($L136,Data_Validation!$A:$D,1,0)</f>
        <v>200</v>
      </c>
      <c r="U136" s="152" t="str">
        <f>+VLOOKUP($L136,Data_Validation!$A:$D,3,0)</f>
        <v>Bilan</v>
      </c>
      <c r="V136" s="152" t="str">
        <f>+VLOOKUP($L136,Data_Validation!$A:$D,4,0)</f>
        <v>encaisse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2331</v>
      </c>
      <c r="B137" s="708" t="s">
        <v>2332</v>
      </c>
      <c r="C137" s="710">
        <v>1744.06</v>
      </c>
      <c r="D137" s="710">
        <v>-1744.06</v>
      </c>
      <c r="E137" s="710">
        <v>0</v>
      </c>
      <c r="F137" s="708" t="s">
        <v>2225</v>
      </c>
      <c r="G137" s="708" t="s">
        <v>372</v>
      </c>
      <c r="H137" s="664" t="s">
        <v>2997</v>
      </c>
      <c r="I137" s="663"/>
      <c r="J137" s="663"/>
      <c r="K137" s="663"/>
      <c r="L137" s="149" t="str">
        <f t="shared" si="10"/>
        <v>220A</v>
      </c>
      <c r="M137" s="150" t="str">
        <f t="shared" si="11"/>
        <v>ASS COLLECTIVE EMPLOYES A/R</v>
      </c>
      <c r="N137" s="151">
        <f>+IF(OR($Q137=Parametres!$G$2,$Q137=Parametres!$G$3),I137,C137)</f>
        <v>1744.06</v>
      </c>
      <c r="O137" s="151">
        <f>+IF(OR($Q137=Parametres!$G$2,$Q137=Parametres!$G$3),J137,D137)</f>
        <v>-1744.06</v>
      </c>
      <c r="P137" s="151">
        <f>+IF(OR($Q137=Parametres!$G$2,$Q137=Parametres!$G$3),K137,E137)</f>
        <v>0</v>
      </c>
      <c r="Q137" s="150" t="str">
        <f t="shared" si="12"/>
        <v>2-Actifs</v>
      </c>
      <c r="R137" s="149" t="str">
        <f t="shared" si="13"/>
        <v>220</v>
      </c>
      <c r="S137" s="150" t="str">
        <f t="shared" si="14"/>
        <v>_</v>
      </c>
      <c r="T137" s="152" t="str">
        <f>+VLOOKUP($L137,Data_Validation!$A:$D,1,0)</f>
        <v>220A</v>
      </c>
      <c r="U137" s="152" t="str">
        <f>+VLOOKUP($L137,Data_Validation!$A:$D,3,0)</f>
        <v>Bilan</v>
      </c>
      <c r="V137" s="152" t="str">
        <f>+VLOOKUP($L137,Data_Validation!$A:$D,4,0)</f>
        <v>Recevables Autres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1365</v>
      </c>
      <c r="B138" s="708" t="s">
        <v>376</v>
      </c>
      <c r="C138" s="710">
        <v>2144.98</v>
      </c>
      <c r="D138" s="710">
        <v>0</v>
      </c>
      <c r="E138" s="710">
        <v>2144.98</v>
      </c>
      <c r="F138" s="708" t="s">
        <v>2225</v>
      </c>
      <c r="G138" s="708" t="s">
        <v>376</v>
      </c>
      <c r="H138" s="664" t="s">
        <v>2997</v>
      </c>
      <c r="I138" s="663"/>
      <c r="J138" s="663"/>
      <c r="K138" s="663"/>
      <c r="L138" s="149" t="str">
        <f t="shared" si="10"/>
        <v>285</v>
      </c>
      <c r="M138" s="150" t="str">
        <f t="shared" si="11"/>
        <v>VEHICULES DE COMPAGNIE</v>
      </c>
      <c r="N138" s="151">
        <f>+IF(OR($Q138=Parametres!$G$2,$Q138=Parametres!$G$3),I138,C138)</f>
        <v>2144.98</v>
      </c>
      <c r="O138" s="497">
        <f>+IF(OR($Q138=Parametres!$G$2,$Q138=Parametres!$G$3),J138,D138)</f>
        <v>0</v>
      </c>
      <c r="P138" s="151">
        <f>+IF(OR($Q138=Parametres!$G$2,$Q138=Parametres!$G$3),K138,E138)</f>
        <v>2144.98</v>
      </c>
      <c r="Q138" s="150" t="str">
        <f t="shared" si="12"/>
        <v>2-Actifs</v>
      </c>
      <c r="R138" s="149" t="str">
        <f t="shared" si="13"/>
        <v>285</v>
      </c>
      <c r="S138" s="150" t="str">
        <f t="shared" si="14"/>
        <v>_</v>
      </c>
      <c r="T138" s="152" t="str">
        <f>+VLOOKUP($L138,Data_Validation!$A:$D,1,0)</f>
        <v>285</v>
      </c>
      <c r="U138" s="152" t="str">
        <f>+VLOOKUP($L138,Data_Validation!$A:$D,3,0)</f>
        <v>Bilan</v>
      </c>
      <c r="V138" s="152" t="str">
        <f>+VLOOKUP($L138,Data_Validation!$A:$D,4,0)</f>
        <v>Équipements Service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1811</v>
      </c>
      <c r="B139" s="708" t="s">
        <v>1812</v>
      </c>
      <c r="C139" s="710">
        <v>3976.87</v>
      </c>
      <c r="D139" s="710">
        <v>-3976.87</v>
      </c>
      <c r="E139" s="710">
        <v>0</v>
      </c>
      <c r="F139" s="708" t="s">
        <v>2225</v>
      </c>
      <c r="G139" s="708" t="s">
        <v>2245</v>
      </c>
      <c r="H139" s="664" t="s">
        <v>2997</v>
      </c>
      <c r="I139" s="664"/>
      <c r="J139" s="664"/>
      <c r="K139" s="664"/>
      <c r="L139" s="149" t="str">
        <f t="shared" si="10"/>
        <v>270C</v>
      </c>
      <c r="M139" s="150" t="str">
        <f t="shared" si="11"/>
        <v>PLAQUES PAYES D'AVANCE</v>
      </c>
      <c r="N139" s="151">
        <f>+IF(OR($Q139=Parametres!$G$2,$Q139=Parametres!$G$3),I139,C139)</f>
        <v>3976.87</v>
      </c>
      <c r="O139" s="151">
        <f>+IF(OR($Q139=Parametres!$G$2,$Q139=Parametres!$G$3),J139,D139)</f>
        <v>-3976.87</v>
      </c>
      <c r="P139" s="151">
        <f>+IF(OR($Q139=Parametres!$G$2,$Q139=Parametres!$G$3),K139,E139)</f>
        <v>0</v>
      </c>
      <c r="Q139" s="150" t="str">
        <f t="shared" si="12"/>
        <v>2-Actifs</v>
      </c>
      <c r="R139" s="149" t="str">
        <f t="shared" si="13"/>
        <v>270</v>
      </c>
      <c r="S139" s="150" t="str">
        <f t="shared" si="14"/>
        <v>_</v>
      </c>
      <c r="T139" s="152" t="str">
        <f>+VLOOKUP($L139,Data_Validation!$A:$D,1,0)</f>
        <v>270C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380</v>
      </c>
      <c r="B140" s="708" t="s">
        <v>462</v>
      </c>
      <c r="C140" s="710">
        <v>4143.53</v>
      </c>
      <c r="D140" s="710">
        <v>-3823.23</v>
      </c>
      <c r="E140" s="710">
        <v>320.3</v>
      </c>
      <c r="F140" s="708" t="s">
        <v>2225</v>
      </c>
      <c r="G140" s="708" t="s">
        <v>462</v>
      </c>
      <c r="H140" s="664" t="s">
        <v>2997</v>
      </c>
      <c r="I140" s="663"/>
      <c r="J140" s="663"/>
      <c r="K140" s="663"/>
      <c r="L140" s="149" t="str">
        <f t="shared" si="10"/>
        <v>248</v>
      </c>
      <c r="M140" s="150" t="str">
        <f t="shared" si="11"/>
        <v>TRAVAUX EN COURS</v>
      </c>
      <c r="N140" s="151">
        <f>+IF(OR($Q140=Parametres!$G$2,$Q140=Parametres!$G$3),I140,C140)</f>
        <v>4143.53</v>
      </c>
      <c r="O140" s="151">
        <f>+IF(OR($Q140=Parametres!$G$2,$Q140=Parametres!$G$3),J140,D140)</f>
        <v>-3823.23</v>
      </c>
      <c r="P140" s="151">
        <f>+IF(OR($Q140=Parametres!$G$2,$Q140=Parametres!$G$3),K140,E140)</f>
        <v>320.3</v>
      </c>
      <c r="Q140" s="150" t="str">
        <f t="shared" si="12"/>
        <v>2-Actifs</v>
      </c>
      <c r="R140" s="149" t="str">
        <f t="shared" si="13"/>
        <v>248</v>
      </c>
      <c r="S140" s="150" t="str">
        <f t="shared" si="14"/>
        <v>_</v>
      </c>
      <c r="T140" s="152" t="str">
        <f>+VLOOKUP($L140,Data_Validation!$A:$D,1,0)</f>
        <v>248</v>
      </c>
      <c r="U140" s="152" t="str">
        <f>+VLOOKUP($L140,Data_Validation!$A:$D,3,0)</f>
        <v>Bilan</v>
      </c>
      <c r="V140" s="152" t="str">
        <f>+VLOOKUP($L140,Data_Validation!$A:$D,4,0)</f>
        <v>Travaux en Cours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940</v>
      </c>
      <c r="B141" s="708" t="s">
        <v>386</v>
      </c>
      <c r="C141" s="709">
        <v>4850</v>
      </c>
      <c r="D141" s="709">
        <v>-1616.67</v>
      </c>
      <c r="E141" s="709">
        <v>3233.33</v>
      </c>
      <c r="F141" s="708" t="s">
        <v>2225</v>
      </c>
      <c r="G141" s="708" t="s">
        <v>386</v>
      </c>
      <c r="H141" s="709" t="s">
        <v>2997</v>
      </c>
      <c r="I141" s="710"/>
      <c r="J141" s="710"/>
      <c r="K141" s="710"/>
      <c r="L141" s="149" t="str">
        <f t="shared" si="10"/>
        <v>274</v>
      </c>
      <c r="M141" s="150" t="str">
        <f t="shared" si="11"/>
        <v>FPA CONTRATS DE SERVICE</v>
      </c>
      <c r="N141" s="151">
        <f>+IF(OR($Q141=Parametres!$G$2,$Q141=Parametres!$G$3),I141,C141)</f>
        <v>4850</v>
      </c>
      <c r="O141" s="151">
        <f>+IF(OR($Q141=Parametres!$G$2,$Q141=Parametres!$G$3),J141,D141)</f>
        <v>-1616.67</v>
      </c>
      <c r="P141" s="151">
        <f>+IF(OR($Q141=Parametres!$G$2,$Q141=Parametres!$G$3),K141,E141)</f>
        <v>3233.33</v>
      </c>
      <c r="Q141" s="150" t="str">
        <f t="shared" si="12"/>
        <v>2-Actifs</v>
      </c>
      <c r="R141" s="149" t="str">
        <f t="shared" si="13"/>
        <v>274</v>
      </c>
      <c r="S141" s="150" t="str">
        <f t="shared" si="14"/>
        <v>_</v>
      </c>
      <c r="T141" s="152" t="str">
        <f>+VLOOKUP($L141,Data_Validation!$A:$D,1,0)</f>
        <v>274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1093</v>
      </c>
      <c r="B142" s="708" t="s">
        <v>375</v>
      </c>
      <c r="C142" s="709">
        <v>4926.76</v>
      </c>
      <c r="D142" s="709">
        <v>-4926.76</v>
      </c>
      <c r="E142" s="709">
        <v>0</v>
      </c>
      <c r="F142" s="708" t="s">
        <v>2225</v>
      </c>
      <c r="G142" s="708" t="s">
        <v>375</v>
      </c>
      <c r="H142" s="709" t="s">
        <v>2997</v>
      </c>
      <c r="I142" s="710"/>
      <c r="J142" s="710"/>
      <c r="K142" s="710"/>
      <c r="L142" s="149" t="str">
        <f t="shared" si="10"/>
        <v>210</v>
      </c>
      <c r="M142" s="150" t="str">
        <f t="shared" si="11"/>
        <v>RECEVABLES VEHICULES</v>
      </c>
      <c r="N142" s="151">
        <f>+IF(OR($Q142=Parametres!$G$2,$Q142=Parametres!$G$3),I142,C142)</f>
        <v>4926.76</v>
      </c>
      <c r="O142" s="497">
        <f>+IF(OR($Q142=Parametres!$G$2,$Q142=Parametres!$G$3),J142,D142)</f>
        <v>-4926.76</v>
      </c>
      <c r="P142" s="151">
        <f>+IF(OR($Q142=Parametres!$G$2,$Q142=Parametres!$G$3),K142,E142)</f>
        <v>0</v>
      </c>
      <c r="Q142" s="150" t="str">
        <f t="shared" si="12"/>
        <v>2-Actifs</v>
      </c>
      <c r="R142" s="149" t="str">
        <f t="shared" si="13"/>
        <v>210</v>
      </c>
      <c r="S142" s="150" t="str">
        <f t="shared" si="14"/>
        <v>_</v>
      </c>
      <c r="T142" s="152" t="str">
        <f>+VLOOKUP($L142,Data_Validation!$A:$D,1,0)</f>
        <v>210</v>
      </c>
      <c r="U142" s="152" t="str">
        <f>+VLOOKUP($L142,Data_Validation!$A:$D,3,0)</f>
        <v>Bilan</v>
      </c>
      <c r="V142" s="152" t="str">
        <f>+VLOOKUP($L142,Data_Validation!$A:$D,4,0)</f>
        <v>Recevables Véhicules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2999</v>
      </c>
      <c r="B143" s="708" t="s">
        <v>3000</v>
      </c>
      <c r="C143" s="710">
        <v>15897.89</v>
      </c>
      <c r="D143" s="710">
        <v>0</v>
      </c>
      <c r="E143" s="710">
        <v>15897.89</v>
      </c>
      <c r="F143" s="708" t="s">
        <v>2225</v>
      </c>
      <c r="G143" s="708" t="s">
        <v>3000</v>
      </c>
      <c r="H143" s="657" t="s">
        <v>2997</v>
      </c>
      <c r="I143" s="656"/>
      <c r="J143" s="656"/>
      <c r="K143" s="656"/>
      <c r="L143" s="149" t="str">
        <f t="shared" si="10"/>
        <v>226</v>
      </c>
      <c r="M143" s="150" t="str">
        <f t="shared" si="11"/>
        <v>AUTRES RECEVABLES</v>
      </c>
      <c r="N143" s="151">
        <f>+IF(OR($Q143=Parametres!$G$2,$Q143=Parametres!$G$3),I143,C143)</f>
        <v>15897.89</v>
      </c>
      <c r="O143" s="151">
        <f>+IF(OR($Q143=Parametres!$G$2,$Q143=Parametres!$G$3),J143,D143)</f>
        <v>0</v>
      </c>
      <c r="P143" s="151">
        <f>+IF(OR($Q143=Parametres!$G$2,$Q143=Parametres!$G$3),K143,E143)</f>
        <v>15897.89</v>
      </c>
      <c r="Q143" s="150" t="str">
        <f t="shared" si="12"/>
        <v>2-Actifs</v>
      </c>
      <c r="R143" s="149" t="str">
        <f t="shared" si="13"/>
        <v>226</v>
      </c>
      <c r="S143" s="150" t="str">
        <f t="shared" si="14"/>
        <v>_</v>
      </c>
      <c r="T143" s="152" t="str">
        <f>+VLOOKUP($L143,Data_Validation!$A:$D,1,0)</f>
        <v>226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1356</v>
      </c>
      <c r="B144" s="708" t="s">
        <v>381</v>
      </c>
      <c r="C144" s="710">
        <v>17171.47</v>
      </c>
      <c r="D144" s="710">
        <v>0</v>
      </c>
      <c r="E144" s="710">
        <v>17171.47</v>
      </c>
      <c r="F144" s="708" t="s">
        <v>2225</v>
      </c>
      <c r="G144" s="708" t="s">
        <v>381</v>
      </c>
      <c r="H144" s="664" t="s">
        <v>2997</v>
      </c>
      <c r="I144" s="663"/>
      <c r="J144" s="663"/>
      <c r="K144" s="663"/>
      <c r="L144" s="149" t="str">
        <f t="shared" si="10"/>
        <v>283</v>
      </c>
      <c r="M144" s="150" t="str">
        <f t="shared" si="11"/>
        <v>EQUIPEMENTS PIECES &amp; ACCESSOIRES</v>
      </c>
      <c r="N144" s="151">
        <f>+IF(OR($Q144=Parametres!$G$2,$Q144=Parametres!$G$3),I144,C144)</f>
        <v>17171.47</v>
      </c>
      <c r="O144" s="151">
        <f>+IF(OR($Q144=Parametres!$G$2,$Q144=Parametres!$G$3),J144,D144)</f>
        <v>0</v>
      </c>
      <c r="P144" s="151">
        <f>+IF(OR($Q144=Parametres!$G$2,$Q144=Parametres!$G$3),K144,E144)</f>
        <v>17171.47</v>
      </c>
      <c r="Q144" s="150" t="str">
        <f t="shared" si="12"/>
        <v>2-Actifs</v>
      </c>
      <c r="R144" s="149" t="str">
        <f t="shared" si="13"/>
        <v>283</v>
      </c>
      <c r="S144" s="150" t="str">
        <f t="shared" si="14"/>
        <v>_</v>
      </c>
      <c r="T144" s="152" t="str">
        <f>+VLOOKUP($L144,Data_Validation!$A:$D,1,0)</f>
        <v>283</v>
      </c>
      <c r="U144" s="152" t="str">
        <f>+VLOOKUP($L144,Data_Validation!$A:$D,3,0)</f>
        <v>Bilan</v>
      </c>
      <c r="V144" s="152" t="str">
        <f>+VLOOKUP($L144,Data_Validation!$A:$D,4,0)</f>
        <v>Équipements Service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2123</v>
      </c>
      <c r="B145" s="708" t="s">
        <v>2124</v>
      </c>
      <c r="C145" s="710">
        <v>37829.86</v>
      </c>
      <c r="D145" s="710">
        <v>-13351.07</v>
      </c>
      <c r="E145" s="710">
        <v>24478.79</v>
      </c>
      <c r="F145" s="708" t="s">
        <v>2225</v>
      </c>
      <c r="G145" s="708" t="s">
        <v>2245</v>
      </c>
      <c r="H145" s="664" t="s">
        <v>2997</v>
      </c>
      <c r="I145" s="663"/>
      <c r="J145" s="663"/>
      <c r="K145" s="663"/>
      <c r="L145" s="149" t="str">
        <f t="shared" si="10"/>
        <v>279</v>
      </c>
      <c r="M145" s="150" t="str">
        <f t="shared" si="11"/>
        <v>TAXES A RECEVOIR</v>
      </c>
      <c r="N145" s="151">
        <f>+IF(OR($Q145=Parametres!$G$2,$Q145=Parametres!$G$3),I145,C145)</f>
        <v>37829.86</v>
      </c>
      <c r="O145" s="151">
        <f>+IF(OR($Q145=Parametres!$G$2,$Q145=Parametres!$G$3),J145,D145)</f>
        <v>-13351.07</v>
      </c>
      <c r="P145" s="151">
        <f>+IF(OR($Q145=Parametres!$G$2,$Q145=Parametres!$G$3),K145,E145)</f>
        <v>24478.79</v>
      </c>
      <c r="Q145" s="150" t="str">
        <f t="shared" si="12"/>
        <v>2-Actifs</v>
      </c>
      <c r="R145" s="149" t="str">
        <f t="shared" si="13"/>
        <v>270</v>
      </c>
      <c r="S145" s="150" t="str">
        <f t="shared" si="14"/>
        <v>_</v>
      </c>
      <c r="T145" s="152" t="str">
        <f>+VLOOKUP($L145,Data_Validation!$A:$D,1,0)</f>
        <v>279</v>
      </c>
      <c r="U145" s="152" t="str">
        <f>+VLOOKUP($L145,Data_Validation!$A:$D,3,0)</f>
        <v>Bilan</v>
      </c>
      <c r="V145" s="152" t="str">
        <f>+VLOOKUP($L145,Data_Validation!$A:$D,4,0)</f>
        <v>Recevables Autres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1788</v>
      </c>
      <c r="B146" s="708" t="s">
        <v>965</v>
      </c>
      <c r="C146" s="710">
        <v>43873.91</v>
      </c>
      <c r="D146" s="710">
        <v>-31096.22</v>
      </c>
      <c r="E146" s="710">
        <v>12777.69</v>
      </c>
      <c r="F146" s="708" t="s">
        <v>2225</v>
      </c>
      <c r="G146" s="708" t="s">
        <v>2246</v>
      </c>
      <c r="H146" s="664" t="s">
        <v>2997</v>
      </c>
      <c r="I146" s="663"/>
      <c r="J146" s="663"/>
      <c r="K146" s="663"/>
      <c r="L146" s="149" t="str">
        <f t="shared" si="10"/>
        <v>222A</v>
      </c>
      <c r="M146" s="150" t="str">
        <f t="shared" si="11"/>
        <v>RECLAMATION GARANTIE A/R BMW</v>
      </c>
      <c r="N146" s="151">
        <f>+IF(OR($Q146=Parametres!$G$2,$Q146=Parametres!$G$3),I146,C146)</f>
        <v>43873.91</v>
      </c>
      <c r="O146" s="151">
        <f>+IF(OR($Q146=Parametres!$G$2,$Q146=Parametres!$G$3),J146,D146)</f>
        <v>-31096.22</v>
      </c>
      <c r="P146" s="151">
        <f>+IF(OR($Q146=Parametres!$G$2,$Q146=Parametres!$G$3),K146,E146)</f>
        <v>12777.69</v>
      </c>
      <c r="Q146" s="150" t="str">
        <f t="shared" si="12"/>
        <v>2-Actifs</v>
      </c>
      <c r="R146" s="149" t="str">
        <f t="shared" si="13"/>
        <v>222</v>
      </c>
      <c r="S146" s="150" t="str">
        <f t="shared" si="14"/>
        <v>_</v>
      </c>
      <c r="T146" s="152" t="str">
        <f>+VLOOKUP($L146,Data_Validation!$A:$D,1,0)</f>
        <v>222A</v>
      </c>
      <c r="U146" s="152" t="str">
        <f>+VLOOKUP($L146,Data_Validation!$A:$D,3,0)</f>
        <v>Bilan</v>
      </c>
      <c r="V146" s="152" t="str">
        <f>+VLOOKUP($L146,Data_Validation!$A:$D,4,0)</f>
        <v>Recevables Garantie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1833</v>
      </c>
      <c r="B147" s="708" t="s">
        <v>451</v>
      </c>
      <c r="C147" s="710">
        <v>53059.5</v>
      </c>
      <c r="D147" s="710">
        <v>5926.5</v>
      </c>
      <c r="E147" s="710">
        <v>58986</v>
      </c>
      <c r="F147" s="708" t="s">
        <v>2225</v>
      </c>
      <c r="G147" s="708" t="s">
        <v>451</v>
      </c>
      <c r="H147" s="664" t="s">
        <v>2997</v>
      </c>
      <c r="I147" s="663"/>
      <c r="J147" s="663"/>
      <c r="K147" s="663"/>
      <c r="L147" s="149" t="str">
        <f t="shared" si="10"/>
        <v>221A</v>
      </c>
      <c r="M147" s="150" t="str">
        <f t="shared" si="11"/>
        <v>PROGRAMMES A/R MANUFACTURIER</v>
      </c>
      <c r="N147" s="151">
        <f>+IF(OR($Q147=Parametres!$G$2,$Q147=Parametres!$G$3),I147,C147)</f>
        <v>53059.5</v>
      </c>
      <c r="O147" s="497">
        <f>+IF(OR($Q147=Parametres!$G$2,$Q147=Parametres!$G$3),J147,D147)</f>
        <v>5926.5</v>
      </c>
      <c r="P147" s="151">
        <f>+IF(OR($Q147=Parametres!$G$2,$Q147=Parametres!$G$3),K147,E147)</f>
        <v>58986</v>
      </c>
      <c r="Q147" s="150" t="str">
        <f t="shared" si="12"/>
        <v>2-Actifs</v>
      </c>
      <c r="R147" s="149" t="str">
        <f t="shared" si="13"/>
        <v>221A</v>
      </c>
      <c r="S147" s="150" t="str">
        <f t="shared" si="14"/>
        <v>_</v>
      </c>
      <c r="T147" s="152" t="str">
        <f>+VLOOKUP($L147,Data_Validation!$A:$D,1,0)</f>
        <v>221A</v>
      </c>
      <c r="U147" s="152" t="str">
        <f>+VLOOKUP($L147,Data_Validation!$A:$D,3,0)</f>
        <v>Bilan</v>
      </c>
      <c r="V147" s="152" t="str">
        <f>+VLOOKUP($L147,Data_Validation!$A:$D,4,0)</f>
        <v>Recevables Manufacturier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444</v>
      </c>
      <c r="B148" s="708" t="s">
        <v>372</v>
      </c>
      <c r="C148" s="710">
        <v>65759.740000000005</v>
      </c>
      <c r="D148" s="710">
        <v>8103.88</v>
      </c>
      <c r="E148" s="710">
        <v>73863.62</v>
      </c>
      <c r="F148" s="708" t="s">
        <v>2225</v>
      </c>
      <c r="G148" s="708" t="s">
        <v>372</v>
      </c>
      <c r="H148" s="664" t="s">
        <v>2997</v>
      </c>
      <c r="I148" s="664"/>
      <c r="J148" s="664"/>
      <c r="K148" s="664"/>
      <c r="L148" s="149" t="str">
        <f t="shared" si="10"/>
        <v>220</v>
      </c>
      <c r="M148" s="150" t="str">
        <f t="shared" si="11"/>
        <v>RECEVABLES PIECES ET SERVICE</v>
      </c>
      <c r="N148" s="151">
        <f>+IF(OR($Q148=Parametres!$G$2,$Q148=Parametres!$G$3),I148,C148)</f>
        <v>65759.740000000005</v>
      </c>
      <c r="O148" s="497">
        <f>+IF(OR($Q148=Parametres!$G$2,$Q148=Parametres!$G$3),J148,D148)</f>
        <v>8103.88</v>
      </c>
      <c r="P148" s="151">
        <f>+IF(OR($Q148=Parametres!$G$2,$Q148=Parametres!$G$3),K148,E148)</f>
        <v>73863.62</v>
      </c>
      <c r="Q148" s="150" t="str">
        <f t="shared" si="12"/>
        <v>2-Actifs</v>
      </c>
      <c r="R148" s="149" t="str">
        <f t="shared" si="13"/>
        <v>220</v>
      </c>
      <c r="S148" s="150" t="str">
        <f t="shared" si="14"/>
        <v>_</v>
      </c>
      <c r="T148" s="152" t="str">
        <f>+VLOOKUP($L148,Data_Validation!$A:$D,1,0)</f>
        <v>220</v>
      </c>
      <c r="U148" s="152" t="str">
        <f>+VLOOKUP($L148,Data_Validation!$A:$D,3,0)</f>
        <v>Bilan</v>
      </c>
      <c r="V148" s="152" t="str">
        <f>+VLOOKUP($L148,Data_Validation!$A:$D,4,0)</f>
        <v>Recevables Pièces et Service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1359</v>
      </c>
      <c r="B149" s="708" t="s">
        <v>1360</v>
      </c>
      <c r="C149" s="710">
        <v>77175.42</v>
      </c>
      <c r="D149" s="710">
        <v>0</v>
      </c>
      <c r="E149" s="710">
        <v>77175.42</v>
      </c>
      <c r="F149" s="708" t="s">
        <v>2225</v>
      </c>
      <c r="G149" s="708" t="s">
        <v>1360</v>
      </c>
      <c r="H149" s="664" t="s">
        <v>2997</v>
      </c>
      <c r="I149" s="664"/>
      <c r="J149" s="664"/>
      <c r="K149" s="664"/>
      <c r="L149" s="149" t="str">
        <f t="shared" si="10"/>
        <v>284B</v>
      </c>
      <c r="M149" s="150" t="str">
        <f t="shared" si="11"/>
        <v>ENSEIGNE</v>
      </c>
      <c r="N149" s="151">
        <f>+IF(OR($Q149=Parametres!$G$2,$Q149=Parametres!$G$3),I149,C149)</f>
        <v>77175.42</v>
      </c>
      <c r="O149" s="151">
        <f>+IF(OR($Q149=Parametres!$G$2,$Q149=Parametres!$G$3),J149,D149)</f>
        <v>0</v>
      </c>
      <c r="P149" s="151">
        <f>+IF(OR($Q149=Parametres!$G$2,$Q149=Parametres!$G$3),K149,E149)</f>
        <v>77175.42</v>
      </c>
      <c r="Q149" s="150" t="str">
        <f t="shared" si="12"/>
        <v>2-Actifs</v>
      </c>
      <c r="R149" s="149" t="str">
        <f t="shared" si="13"/>
        <v>284B</v>
      </c>
      <c r="S149" s="150" t="str">
        <f t="shared" si="14"/>
        <v>_</v>
      </c>
      <c r="T149" s="152" t="str">
        <f>+VLOOKUP($L149,Data_Validation!$A:$D,1,0)</f>
        <v>284B</v>
      </c>
      <c r="U149" s="152" t="str">
        <f>+VLOOKUP($L149,Data_Validation!$A:$D,3,0)</f>
        <v>Bilan</v>
      </c>
      <c r="V149" s="152" t="str">
        <f>+VLOOKUP($L149,Data_Validation!$A:$D,4,0)</f>
        <v>Enseigne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1114</v>
      </c>
      <c r="B150" s="708" t="s">
        <v>385</v>
      </c>
      <c r="C150" s="710">
        <v>87532.11</v>
      </c>
      <c r="D150" s="710">
        <v>-8699.5300000000007</v>
      </c>
      <c r="E150" s="710">
        <v>78832.58</v>
      </c>
      <c r="F150" s="708" t="s">
        <v>2225</v>
      </c>
      <c r="G150" s="708" t="s">
        <v>385</v>
      </c>
      <c r="H150" s="664" t="s">
        <v>2997</v>
      </c>
      <c r="I150" s="663"/>
      <c r="J150" s="663"/>
      <c r="K150" s="663"/>
      <c r="L150" s="149" t="str">
        <f t="shared" si="10"/>
        <v>221</v>
      </c>
      <c r="M150" s="150" t="str">
        <f t="shared" si="11"/>
        <v>BONIS A/R MANUFACTURIER</v>
      </c>
      <c r="N150" s="151">
        <f>+IF(OR($Q150=Parametres!$G$2,$Q150=Parametres!$G$3),I150,C150)</f>
        <v>87532.11</v>
      </c>
      <c r="O150" s="151">
        <f>+IF(OR($Q150=Parametres!$G$2,$Q150=Parametres!$G$3),J150,D150)</f>
        <v>-8699.5300000000007</v>
      </c>
      <c r="P150" s="151">
        <f>+IF(OR($Q150=Parametres!$G$2,$Q150=Parametres!$G$3),K150,E150)</f>
        <v>78832.58</v>
      </c>
      <c r="Q150" s="150" t="str">
        <f t="shared" si="12"/>
        <v>2-Actifs</v>
      </c>
      <c r="R150" s="149" t="str">
        <f t="shared" si="13"/>
        <v>221</v>
      </c>
      <c r="S150" s="150" t="str">
        <f t="shared" si="14"/>
        <v>_</v>
      </c>
      <c r="T150" s="152" t="str">
        <f>+VLOOKUP($L150,Data_Validation!$A:$D,1,0)</f>
        <v>221</v>
      </c>
      <c r="U150" s="152" t="str">
        <f>+VLOOKUP($L150,Data_Validation!$A:$D,3,0)</f>
        <v>Bilan</v>
      </c>
      <c r="V150" s="152" t="str">
        <f>+VLOOKUP($L150,Data_Validation!$A:$D,4,0)</f>
        <v>Recevables Manufacturier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1073</v>
      </c>
      <c r="B151" s="708" t="s">
        <v>397</v>
      </c>
      <c r="C151" s="709">
        <v>132300</v>
      </c>
      <c r="D151" s="709">
        <v>-50995.1</v>
      </c>
      <c r="E151" s="709">
        <v>81304.899999999994</v>
      </c>
      <c r="F151" s="708" t="s">
        <v>2225</v>
      </c>
      <c r="G151" s="708" t="s">
        <v>375</v>
      </c>
      <c r="H151" s="709" t="s">
        <v>2997</v>
      </c>
      <c r="I151" s="710"/>
      <c r="J151" s="710"/>
      <c r="K151" s="710"/>
      <c r="L151" s="149" t="str">
        <f t="shared" si="10"/>
        <v>210A</v>
      </c>
      <c r="M151" s="150" t="str">
        <f t="shared" si="11"/>
        <v>WHOLESALE &amp; ECHANGE A/R</v>
      </c>
      <c r="N151" s="151">
        <f>+IF(OR($Q151=Parametres!$G$2,$Q151=Parametres!$G$3),I151,C151)</f>
        <v>132300</v>
      </c>
      <c r="O151" s="497">
        <f>+IF(OR($Q151=Parametres!$G$2,$Q151=Parametres!$G$3),J151,D151)</f>
        <v>-50995.1</v>
      </c>
      <c r="P151" s="151">
        <f>+IF(OR($Q151=Parametres!$G$2,$Q151=Parametres!$G$3),K151,E151)</f>
        <v>81304.899999999994</v>
      </c>
      <c r="Q151" s="150" t="str">
        <f t="shared" si="12"/>
        <v>2-Actifs</v>
      </c>
      <c r="R151" s="149" t="str">
        <f t="shared" si="13"/>
        <v>210</v>
      </c>
      <c r="S151" s="150" t="str">
        <f t="shared" si="14"/>
        <v>_</v>
      </c>
      <c r="T151" s="152" t="str">
        <f>+VLOOKUP($L151,Data_Validation!$A:$D,1,0)</f>
        <v>210A</v>
      </c>
      <c r="U151" s="152" t="str">
        <f>+VLOOKUP($L151,Data_Validation!$A:$D,3,0)</f>
        <v>Bilan</v>
      </c>
      <c r="V151" s="152" t="str">
        <f>+VLOOKUP($L151,Data_Validation!$A:$D,4,0)</f>
        <v>Recevables Véhicules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1361</v>
      </c>
      <c r="B152" s="708" t="s">
        <v>1362</v>
      </c>
      <c r="C152" s="710">
        <v>179530.75</v>
      </c>
      <c r="D152" s="710">
        <v>1603.5</v>
      </c>
      <c r="E152" s="710">
        <v>181134.25</v>
      </c>
      <c r="F152" s="708" t="s">
        <v>2225</v>
      </c>
      <c r="G152" s="708" t="s">
        <v>1362</v>
      </c>
      <c r="H152" s="664" t="s">
        <v>2997</v>
      </c>
      <c r="I152" s="663"/>
      <c r="J152" s="663"/>
      <c r="K152" s="663"/>
      <c r="L152" s="149" t="str">
        <f t="shared" si="10"/>
        <v>284C</v>
      </c>
      <c r="M152" s="150" t="str">
        <f t="shared" si="11"/>
        <v>EQUIPEMENTS INFORMATIQUE</v>
      </c>
      <c r="N152" s="151">
        <f>+IF(OR($Q152=Parametres!$G$2,$Q152=Parametres!$G$3),I152,C152)</f>
        <v>179530.75</v>
      </c>
      <c r="O152" s="151">
        <f>+IF(OR($Q152=Parametres!$G$2,$Q152=Parametres!$G$3),J152,D152)</f>
        <v>1603.5</v>
      </c>
      <c r="P152" s="151">
        <f>+IF(OR($Q152=Parametres!$G$2,$Q152=Parametres!$G$3),K152,E152)</f>
        <v>181134.25</v>
      </c>
      <c r="Q152" s="150" t="str">
        <f t="shared" si="12"/>
        <v>2-Actifs</v>
      </c>
      <c r="R152" s="149" t="str">
        <f t="shared" si="13"/>
        <v>284C</v>
      </c>
      <c r="S152" s="150" t="str">
        <f t="shared" si="14"/>
        <v>_</v>
      </c>
      <c r="T152" s="152" t="str">
        <f>+VLOOKUP($L152,Data_Validation!$A:$D,1,0)</f>
        <v>284C</v>
      </c>
      <c r="U152" s="152" t="str">
        <f>+VLOOKUP($L152,Data_Validation!$A:$D,3,0)</f>
        <v>Bilan</v>
      </c>
      <c r="V152" s="152" t="str">
        <f>+VLOOKUP($L152,Data_Validation!$A:$D,4,0)</f>
        <v>Équipements Informatique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1825</v>
      </c>
      <c r="B153" s="708" t="s">
        <v>427</v>
      </c>
      <c r="C153" s="710">
        <v>271507.33</v>
      </c>
      <c r="D153" s="710">
        <v>-70589.41</v>
      </c>
      <c r="E153" s="710">
        <v>200917.92</v>
      </c>
      <c r="F153" s="708" t="s">
        <v>2225</v>
      </c>
      <c r="G153" s="708" t="s">
        <v>421</v>
      </c>
      <c r="H153" s="664" t="s">
        <v>2997</v>
      </c>
      <c r="I153" s="663"/>
      <c r="J153" s="663"/>
      <c r="K153" s="663"/>
      <c r="L153" s="149" t="str">
        <f t="shared" si="10"/>
        <v>249</v>
      </c>
      <c r="M153" s="150" t="str">
        <f t="shared" si="11"/>
        <v>INV. PNEUS</v>
      </c>
      <c r="N153" s="151">
        <f>+IF(OR($Q153=Parametres!$G$2,$Q153=Parametres!$G$3),I153,C153)</f>
        <v>271507.33</v>
      </c>
      <c r="O153" s="151">
        <f>+IF(OR($Q153=Parametres!$G$2,$Q153=Parametres!$G$3),J153,D153)</f>
        <v>-70589.41</v>
      </c>
      <c r="P153" s="151">
        <f>+IF(OR($Q153=Parametres!$G$2,$Q153=Parametres!$G$3),K153,E153)</f>
        <v>200917.92</v>
      </c>
      <c r="Q153" s="150" t="str">
        <f t="shared" si="12"/>
        <v>2-Actifs</v>
      </c>
      <c r="R153" s="149" t="str">
        <f t="shared" si="13"/>
        <v>243A</v>
      </c>
      <c r="S153" s="150" t="str">
        <f t="shared" si="14"/>
        <v>_</v>
      </c>
      <c r="T153" s="152" t="str">
        <f>+VLOOKUP($L153,Data_Validation!$A:$D,1,0)</f>
        <v>249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1107</v>
      </c>
      <c r="B154" s="708" t="s">
        <v>421</v>
      </c>
      <c r="C154" s="710">
        <v>362441.35</v>
      </c>
      <c r="D154" s="710">
        <v>-71204.95</v>
      </c>
      <c r="E154" s="710">
        <v>291236.40000000002</v>
      </c>
      <c r="F154" s="708" t="s">
        <v>2225</v>
      </c>
      <c r="G154" s="708" t="s">
        <v>421</v>
      </c>
      <c r="H154" s="664" t="s">
        <v>2997</v>
      </c>
      <c r="I154" s="663"/>
      <c r="J154" s="663"/>
      <c r="K154" s="663"/>
      <c r="L154" s="149" t="str">
        <f t="shared" si="10"/>
        <v>243A</v>
      </c>
      <c r="M154" s="150" t="str">
        <f t="shared" si="11"/>
        <v>INV. PIECES BMW</v>
      </c>
      <c r="N154" s="151">
        <f>+IF(OR($Q154=Parametres!$G$2,$Q154=Parametres!$G$3),I154,C154)</f>
        <v>362441.35</v>
      </c>
      <c r="O154" s="151">
        <f>+IF(OR($Q154=Parametres!$G$2,$Q154=Parametres!$G$3),J154,D154)</f>
        <v>-71204.95</v>
      </c>
      <c r="P154" s="151">
        <f>+IF(OR($Q154=Parametres!$G$2,$Q154=Parametres!$G$3),K154,E154)</f>
        <v>291236.40000000002</v>
      </c>
      <c r="Q154" s="150" t="str">
        <f t="shared" si="12"/>
        <v>2-Actifs</v>
      </c>
      <c r="R154" s="149" t="str">
        <f t="shared" si="13"/>
        <v>243A</v>
      </c>
      <c r="S154" s="150" t="str">
        <f t="shared" si="14"/>
        <v>_</v>
      </c>
      <c r="T154" s="152" t="str">
        <f>+VLOOKUP($L154,Data_Validation!$A:$D,1,0)</f>
        <v>243A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1083</v>
      </c>
      <c r="B155" s="708" t="s">
        <v>408</v>
      </c>
      <c r="C155" s="710">
        <v>381650.29</v>
      </c>
      <c r="D155" s="710">
        <v>-175350.59</v>
      </c>
      <c r="E155" s="710">
        <v>206299.7</v>
      </c>
      <c r="F155" s="708" t="s">
        <v>2225</v>
      </c>
      <c r="G155" s="708" t="s">
        <v>408</v>
      </c>
      <c r="H155" s="664" t="s">
        <v>2997</v>
      </c>
      <c r="I155" s="663"/>
      <c r="J155" s="663"/>
      <c r="K155" s="663"/>
      <c r="L155" s="149" t="str">
        <f t="shared" si="10"/>
        <v>240A</v>
      </c>
      <c r="M155" s="150" t="str">
        <f t="shared" si="11"/>
        <v>INV. VOITURES USAGEES BMW</v>
      </c>
      <c r="N155" s="151">
        <f>+IF(OR($Q155=Parametres!$G$2,$Q155=Parametres!$G$3),I155,C155)</f>
        <v>381650.29</v>
      </c>
      <c r="O155" s="151">
        <f>+IF(OR($Q155=Parametres!$G$2,$Q155=Parametres!$G$3),J155,D155)</f>
        <v>-175350.59</v>
      </c>
      <c r="P155" s="151">
        <f>+IF(OR($Q155=Parametres!$G$2,$Q155=Parametres!$G$3),K155,E155)</f>
        <v>206299.7</v>
      </c>
      <c r="Q155" s="150" t="str">
        <f t="shared" si="12"/>
        <v>2-Actifs</v>
      </c>
      <c r="R155" s="149" t="str">
        <f t="shared" si="13"/>
        <v>240A</v>
      </c>
      <c r="S155" s="150" t="str">
        <f t="shared" si="14"/>
        <v>_</v>
      </c>
      <c r="T155" s="152" t="str">
        <f>+VLOOKUP($L155,Data_Validation!$A:$D,1,0)</f>
        <v>240A</v>
      </c>
      <c r="U155" s="152" t="str">
        <f>+VLOOKUP($L155,Data_Validation!$A:$D,3,0)</f>
        <v>Bilan</v>
      </c>
      <c r="V155" s="152" t="str">
        <f>+VLOOKUP($L155,Data_Validation!$A:$D,4,0)</f>
        <v>Inventaire Véhicules Usagés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1092</v>
      </c>
      <c r="B156" s="708" t="s">
        <v>432</v>
      </c>
      <c r="C156" s="709">
        <v>475659.88</v>
      </c>
      <c r="D156" s="709">
        <v>-246125.34</v>
      </c>
      <c r="E156" s="709">
        <v>229534.54</v>
      </c>
      <c r="F156" s="708" t="s">
        <v>2225</v>
      </c>
      <c r="G156" s="708" t="s">
        <v>432</v>
      </c>
      <c r="H156" s="709" t="s">
        <v>2997</v>
      </c>
      <c r="I156" s="710"/>
      <c r="J156" s="710"/>
      <c r="K156" s="710"/>
      <c r="L156" s="149" t="str">
        <f t="shared" si="10"/>
        <v>240C</v>
      </c>
      <c r="M156" s="150" t="str">
        <f t="shared" si="11"/>
        <v>INV. VEHICULES USAGES AUTRES</v>
      </c>
      <c r="N156" s="151">
        <f>+IF(OR($Q156=Parametres!$G$2,$Q156=Parametres!$G$3),I156,C156)</f>
        <v>475659.88</v>
      </c>
      <c r="O156" s="497">
        <f>+IF(OR($Q156=Parametres!$G$2,$Q156=Parametres!$G$3),J156,D156)</f>
        <v>-246125.34</v>
      </c>
      <c r="P156" s="151">
        <f>+IF(OR($Q156=Parametres!$G$2,$Q156=Parametres!$G$3),K156,E156)</f>
        <v>229534.54</v>
      </c>
      <c r="Q156" s="150" t="str">
        <f t="shared" si="12"/>
        <v>2-Actifs</v>
      </c>
      <c r="R156" s="149" t="str">
        <f t="shared" si="13"/>
        <v>240C</v>
      </c>
      <c r="S156" s="150" t="str">
        <f t="shared" si="14"/>
        <v>_</v>
      </c>
      <c r="T156" s="152" t="str">
        <f>+VLOOKUP($L156,Data_Validation!$A:$D,1,0)</f>
        <v>240C</v>
      </c>
      <c r="U156" s="152" t="str">
        <f>+VLOOKUP($L156,Data_Validation!$A:$D,3,0)</f>
        <v>Bilan</v>
      </c>
      <c r="V156" s="152" t="str">
        <f>+VLOOKUP($L156,Data_Validation!$A:$D,4,0)</f>
        <v>Inventaire Véhicules Usagés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1357</v>
      </c>
      <c r="B157" s="708" t="s">
        <v>1358</v>
      </c>
      <c r="C157" s="709">
        <v>493886.91</v>
      </c>
      <c r="D157" s="709">
        <v>0</v>
      </c>
      <c r="E157" s="709">
        <v>493886.91</v>
      </c>
      <c r="F157" s="708" t="s">
        <v>2225</v>
      </c>
      <c r="G157" s="708" t="s">
        <v>1358</v>
      </c>
      <c r="H157" s="709" t="s">
        <v>2997</v>
      </c>
      <c r="I157" s="710"/>
      <c r="J157" s="710"/>
      <c r="K157" s="710"/>
      <c r="L157" s="149" t="str">
        <f t="shared" si="10"/>
        <v>284A</v>
      </c>
      <c r="M157" s="150" t="str">
        <f t="shared" si="11"/>
        <v>MEUBLES &amp; ACCESSOIRES</v>
      </c>
      <c r="N157" s="151">
        <f>+IF(OR($Q157=Parametres!$G$2,$Q157=Parametres!$G$3),I157,C157)</f>
        <v>493886.91</v>
      </c>
      <c r="O157" s="497">
        <f>+IF(OR($Q157=Parametres!$G$2,$Q157=Parametres!$G$3),J157,D157)</f>
        <v>0</v>
      </c>
      <c r="P157" s="151">
        <f>+IF(OR($Q157=Parametres!$G$2,$Q157=Parametres!$G$3),K157,E157)</f>
        <v>493886.91</v>
      </c>
      <c r="Q157" s="150" t="str">
        <f t="shared" si="12"/>
        <v>2-Actifs</v>
      </c>
      <c r="R157" s="149" t="str">
        <f t="shared" si="13"/>
        <v>284A</v>
      </c>
      <c r="S157" s="150" t="str">
        <f t="shared" si="14"/>
        <v>_</v>
      </c>
      <c r="T157" s="152" t="str">
        <f>+VLOOKUP($L157,Data_Validation!$A:$D,1,0)</f>
        <v>284A</v>
      </c>
      <c r="U157" s="152" t="str">
        <f>+VLOOKUP($L157,Data_Validation!$A:$D,3,0)</f>
        <v>Bilan</v>
      </c>
      <c r="V157" s="152" t="str">
        <f>+VLOOKUP($L157,Data_Validation!$A:$D,4,0)</f>
        <v>Mobilier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399</v>
      </c>
      <c r="B158" s="708" t="s">
        <v>370</v>
      </c>
      <c r="C158" s="710">
        <v>562349.68999999994</v>
      </c>
      <c r="D158" s="710">
        <v>-261074.25</v>
      </c>
      <c r="E158" s="710">
        <v>301275.44</v>
      </c>
      <c r="F158" s="708" t="s">
        <v>2225</v>
      </c>
      <c r="G158" s="708" t="s">
        <v>370</v>
      </c>
      <c r="H158" s="657" t="s">
        <v>2997</v>
      </c>
      <c r="I158" s="656"/>
      <c r="J158" s="656"/>
      <c r="K158" s="656"/>
      <c r="L158" s="149" t="str">
        <f t="shared" si="10"/>
        <v>205</v>
      </c>
      <c r="M158" s="150" t="str">
        <f t="shared" si="11"/>
        <v>CONTRATS EN TRANSIT</v>
      </c>
      <c r="N158" s="151">
        <f>+IF(OR($Q158=Parametres!$G$2,$Q158=Parametres!$G$3),I158,C158)</f>
        <v>562349.68999999994</v>
      </c>
      <c r="O158" s="151">
        <f>+IF(OR($Q158=Parametres!$G$2,$Q158=Parametres!$G$3),J158,D158)</f>
        <v>-261074.25</v>
      </c>
      <c r="P158" s="151">
        <f>+IF(OR($Q158=Parametres!$G$2,$Q158=Parametres!$G$3),K158,E158)</f>
        <v>301275.44</v>
      </c>
      <c r="Q158" s="150" t="str">
        <f t="shared" si="12"/>
        <v>2-Actifs</v>
      </c>
      <c r="R158" s="149" t="str">
        <f t="shared" si="13"/>
        <v>205</v>
      </c>
      <c r="S158" s="150" t="str">
        <f t="shared" si="14"/>
        <v>_</v>
      </c>
      <c r="T158" s="152" t="str">
        <f>+VLOOKUP($L158,Data_Validation!$A:$D,1,0)</f>
        <v>205</v>
      </c>
      <c r="U158" s="152" t="str">
        <f>+VLOOKUP($L158,Data_Validation!$A:$D,3,0)</f>
        <v>Bilan</v>
      </c>
      <c r="V158" s="152" t="str">
        <f>+VLOOKUP($L158,Data_Validation!$A:$D,4,0)</f>
        <v>Recevables Contrats en Transit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1184</v>
      </c>
      <c r="B159" s="708" t="s">
        <v>388</v>
      </c>
      <c r="C159" s="710">
        <v>690091.65</v>
      </c>
      <c r="D159" s="710">
        <v>1073.6300000000001</v>
      </c>
      <c r="E159" s="710">
        <v>691165.28</v>
      </c>
      <c r="F159" s="708" t="s">
        <v>2225</v>
      </c>
      <c r="G159" s="708" t="s">
        <v>388</v>
      </c>
      <c r="H159" s="664" t="s">
        <v>2997</v>
      </c>
      <c r="I159" s="663"/>
      <c r="J159" s="663"/>
      <c r="K159" s="663"/>
      <c r="L159" s="149" t="str">
        <f t="shared" si="10"/>
        <v>282</v>
      </c>
      <c r="M159" s="150" t="str">
        <f t="shared" si="11"/>
        <v>EQUIPEMENTS &amp; OUTILLAGES</v>
      </c>
      <c r="N159" s="151">
        <f>+IF(OR($Q159=Parametres!$G$2,$Q159=Parametres!$G$3),I159,C159)</f>
        <v>690091.65</v>
      </c>
      <c r="O159" s="151">
        <f>+IF(OR($Q159=Parametres!$G$2,$Q159=Parametres!$G$3),J159,D159)</f>
        <v>1073.6300000000001</v>
      </c>
      <c r="P159" s="151">
        <f>+IF(OR($Q159=Parametres!$G$2,$Q159=Parametres!$G$3),K159,E159)</f>
        <v>691165.28</v>
      </c>
      <c r="Q159" s="150" t="str">
        <f t="shared" si="12"/>
        <v>2-Actifs</v>
      </c>
      <c r="R159" s="149" t="str">
        <f t="shared" si="13"/>
        <v>282</v>
      </c>
      <c r="S159" s="150" t="str">
        <f t="shared" si="14"/>
        <v>_</v>
      </c>
      <c r="T159" s="152" t="str">
        <f>+VLOOKUP($L159,Data_Validation!$A:$D,1,0)</f>
        <v>282</v>
      </c>
      <c r="U159" s="152" t="str">
        <f>+VLOOKUP($L159,Data_Validation!$A:$D,3,0)</f>
        <v>Bilan</v>
      </c>
      <c r="V159" s="152" t="str">
        <f>+VLOOKUP($L159,Data_Validation!$A:$D,4,0)</f>
        <v>Équipements Service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1069</v>
      </c>
      <c r="B160" s="708" t="s">
        <v>359</v>
      </c>
      <c r="C160" s="710">
        <v>754641.45</v>
      </c>
      <c r="D160" s="710">
        <v>-815804.1</v>
      </c>
      <c r="E160" s="710">
        <v>-61162.65</v>
      </c>
      <c r="F160" s="708" t="s">
        <v>2225</v>
      </c>
      <c r="G160" s="708" t="s">
        <v>359</v>
      </c>
      <c r="H160" s="664" t="s">
        <v>2997</v>
      </c>
      <c r="I160" s="663"/>
      <c r="J160" s="663"/>
      <c r="K160" s="663"/>
      <c r="L160" s="149" t="str">
        <f t="shared" si="10"/>
        <v>202</v>
      </c>
      <c r="M160" s="150" t="str">
        <f t="shared" si="11"/>
        <v>ENCAISSE</v>
      </c>
      <c r="N160" s="151">
        <f>+IF(OR($Q160=Parametres!$G$2,$Q160=Parametres!$G$3),I160,C160)</f>
        <v>754641.45</v>
      </c>
      <c r="O160" s="151">
        <f>+IF(OR($Q160=Parametres!$G$2,$Q160=Parametres!$G$3),J160,D160)</f>
        <v>-815804.1</v>
      </c>
      <c r="P160" s="151">
        <f>+IF(OR($Q160=Parametres!$G$2,$Q160=Parametres!$G$3),K160,E160)</f>
        <v>-61162.65</v>
      </c>
      <c r="Q160" s="150" t="str">
        <f t="shared" si="12"/>
        <v>2-Actifs</v>
      </c>
      <c r="R160" s="149" t="str">
        <f t="shared" si="13"/>
        <v>202</v>
      </c>
      <c r="S160" s="150" t="str">
        <f t="shared" si="14"/>
        <v>_</v>
      </c>
      <c r="T160" s="152" t="str">
        <f>+VLOOKUP($L160,Data_Validation!$A:$D,1,0)</f>
        <v>202</v>
      </c>
      <c r="U160" s="152" t="str">
        <f>+VLOOKUP($L160,Data_Validation!$A:$D,3,0)</f>
        <v>Bilan</v>
      </c>
      <c r="V160" s="152" t="str">
        <f>+VLOOKUP($L160,Data_Validation!$A:$D,4,0)</f>
        <v>encaisse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1840</v>
      </c>
      <c r="B161" s="708" t="s">
        <v>819</v>
      </c>
      <c r="C161" s="709">
        <v>838749.22</v>
      </c>
      <c r="D161" s="709">
        <v>-446174.22</v>
      </c>
      <c r="E161" s="709">
        <v>392575</v>
      </c>
      <c r="F161" s="708" t="s">
        <v>2225</v>
      </c>
      <c r="G161" s="708" t="s">
        <v>819</v>
      </c>
      <c r="H161" s="709" t="s">
        <v>2997</v>
      </c>
      <c r="I161" s="710"/>
      <c r="J161" s="710"/>
      <c r="K161" s="710"/>
      <c r="L161" s="149" t="str">
        <f t="shared" si="10"/>
        <v>242A</v>
      </c>
      <c r="M161" s="150" t="str">
        <f t="shared" si="11"/>
        <v>INV. CAMIONS USAGES BMW</v>
      </c>
      <c r="N161" s="151">
        <f>+IF(OR($Q161=Parametres!$G$2,$Q161=Parametres!$G$3),I161,C161)</f>
        <v>838749.22</v>
      </c>
      <c r="O161" s="151">
        <f>+IF(OR($Q161=Parametres!$G$2,$Q161=Parametres!$G$3),J161,D161)</f>
        <v>-446174.22</v>
      </c>
      <c r="P161" s="151">
        <f>+IF(OR($Q161=Parametres!$G$2,$Q161=Parametres!$G$3),K161,E161)</f>
        <v>392575</v>
      </c>
      <c r="Q161" s="150" t="str">
        <f t="shared" si="12"/>
        <v>2-Actifs</v>
      </c>
      <c r="R161" s="149" t="str">
        <f t="shared" si="13"/>
        <v>242A</v>
      </c>
      <c r="S161" s="150" t="str">
        <f t="shared" si="14"/>
        <v>_</v>
      </c>
      <c r="T161" s="152" t="str">
        <f>+VLOOKUP($L161,Data_Validation!$A:$D,1,0)</f>
        <v>242A</v>
      </c>
      <c r="U161" s="152" t="str">
        <f>+VLOOKUP($L161,Data_Validation!$A:$D,3,0)</f>
        <v>Bilan</v>
      </c>
      <c r="V161" s="152" t="str">
        <f>+VLOOKUP($L161,Data_Validation!$A:$D,4,0)</f>
        <v>Inventaire Véhicules Usagés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1020</v>
      </c>
      <c r="B162" s="708" t="s">
        <v>600</v>
      </c>
      <c r="C162" s="710">
        <v>1390802.97</v>
      </c>
      <c r="D162" s="710">
        <v>0</v>
      </c>
      <c r="E162" s="710">
        <v>1390802.97</v>
      </c>
      <c r="F162" s="708" t="s">
        <v>2225</v>
      </c>
      <c r="G162" s="708" t="s">
        <v>600</v>
      </c>
      <c r="H162" s="664" t="s">
        <v>2997</v>
      </c>
      <c r="I162" s="663"/>
      <c r="J162" s="663"/>
      <c r="K162" s="663"/>
      <c r="L162" s="149" t="str">
        <f t="shared" si="10"/>
        <v>286</v>
      </c>
      <c r="M162" s="150" t="str">
        <f t="shared" si="11"/>
        <v>AMELIORATION LOCATIVE</v>
      </c>
      <c r="N162" s="151">
        <f>+IF(OR($Q162=Parametres!$G$2,$Q162=Parametres!$G$3),I162,C162)</f>
        <v>1390802.97</v>
      </c>
      <c r="O162" s="151">
        <f>+IF(OR($Q162=Parametres!$G$2,$Q162=Parametres!$G$3),J162,D162)</f>
        <v>0</v>
      </c>
      <c r="P162" s="151">
        <f>+IF(OR($Q162=Parametres!$G$2,$Q162=Parametres!$G$3),K162,E162)</f>
        <v>1390802.97</v>
      </c>
      <c r="Q162" s="150" t="str">
        <f t="shared" si="12"/>
        <v>2-Actifs</v>
      </c>
      <c r="R162" s="149" t="str">
        <f t="shared" si="13"/>
        <v>286</v>
      </c>
      <c r="S162" s="150" t="str">
        <f t="shared" si="14"/>
        <v>_</v>
      </c>
      <c r="T162" s="152" t="str">
        <f>+VLOOKUP($L162,Data_Validation!$A:$D,1,0)</f>
        <v>286</v>
      </c>
      <c r="U162" s="152" t="str">
        <f>+VLOOKUP($L162,Data_Validation!$A:$D,3,0)</f>
        <v>Bilan</v>
      </c>
      <c r="V162" s="152" t="str">
        <f>+VLOOKUP($L162,Data_Validation!$A:$D,4,0)</f>
        <v>Améliorations Locatives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1176</v>
      </c>
      <c r="B163" s="708" t="s">
        <v>353</v>
      </c>
      <c r="C163" s="709">
        <v>1447420.96</v>
      </c>
      <c r="D163" s="709">
        <v>-197997.21</v>
      </c>
      <c r="E163" s="709">
        <v>1249423.75</v>
      </c>
      <c r="F163" s="708" t="s">
        <v>2225</v>
      </c>
      <c r="G163" s="708" t="s">
        <v>353</v>
      </c>
      <c r="H163" s="709" t="s">
        <v>2997</v>
      </c>
      <c r="I163" s="710"/>
      <c r="J163" s="710"/>
      <c r="K163" s="710"/>
      <c r="L163" s="149" t="str">
        <f t="shared" si="10"/>
        <v>234</v>
      </c>
      <c r="M163" s="150" t="str">
        <f t="shared" si="11"/>
        <v>INVENTAIRE VEHICULES I</v>
      </c>
      <c r="N163" s="151">
        <f>+IF(OR($Q163=Parametres!$G$2,$Q163=Parametres!$G$3),I163,C163)</f>
        <v>1447420.96</v>
      </c>
      <c r="O163" s="151">
        <f>+IF(OR($Q163=Parametres!$G$2,$Q163=Parametres!$G$3),J163,D163)</f>
        <v>-197997.21</v>
      </c>
      <c r="P163" s="151">
        <f>+IF(OR($Q163=Parametres!$G$2,$Q163=Parametres!$G$3),K163,E163)</f>
        <v>1249423.75</v>
      </c>
      <c r="Q163" s="150" t="str">
        <f t="shared" si="12"/>
        <v>2-Actifs</v>
      </c>
      <c r="R163" s="149" t="str">
        <f t="shared" si="13"/>
        <v>234</v>
      </c>
      <c r="S163" s="150" t="str">
        <f t="shared" si="14"/>
        <v>_</v>
      </c>
      <c r="T163" s="152" t="str">
        <f>+VLOOKUP($L163,Data_Validation!$A:$D,1,0)</f>
        <v>234</v>
      </c>
      <c r="U163" s="152" t="str">
        <f>+VLOOKUP($L163,Data_Validation!$A:$D,3,0)</f>
        <v>Bilan</v>
      </c>
      <c r="V163" s="152" t="str">
        <f>+VLOOKUP($L163,Data_Validation!$A:$D,4,0)</f>
        <v>Inventaire Véhicules Neufs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1850</v>
      </c>
      <c r="B164" s="708" t="s">
        <v>352</v>
      </c>
      <c r="C164" s="709">
        <v>1926309.77</v>
      </c>
      <c r="D164" s="709">
        <v>-288570.78999999998</v>
      </c>
      <c r="E164" s="709">
        <v>1637738.98</v>
      </c>
      <c r="F164" s="708" t="s">
        <v>2225</v>
      </c>
      <c r="G164" s="708" t="s">
        <v>352</v>
      </c>
      <c r="H164" s="709" t="s">
        <v>2997</v>
      </c>
      <c r="I164" s="710"/>
      <c r="J164" s="710"/>
      <c r="K164" s="710"/>
      <c r="L164" s="149" t="str">
        <f t="shared" si="10"/>
        <v>230</v>
      </c>
      <c r="M164" s="150" t="str">
        <f t="shared" si="11"/>
        <v>INV. VOITURES NEUVES BMW</v>
      </c>
      <c r="N164" s="151">
        <f>+IF(OR($Q164=Parametres!$G$2,$Q164=Parametres!$G$3),I164,C164)</f>
        <v>1926309.77</v>
      </c>
      <c r="O164" s="498">
        <f>+IF(OR($Q164=Parametres!$G$2,$Q164=Parametres!$G$3),J164,D164)</f>
        <v>-288570.78999999998</v>
      </c>
      <c r="P164" s="151">
        <f>+IF(OR($Q164=Parametres!$G$2,$Q164=Parametres!$G$3),K164,E164)</f>
        <v>1637738.98</v>
      </c>
      <c r="Q164" s="150" t="str">
        <f t="shared" si="12"/>
        <v>2-Actifs</v>
      </c>
      <c r="R164" s="149" t="str">
        <f t="shared" si="13"/>
        <v>230</v>
      </c>
      <c r="S164" s="150" t="str">
        <f t="shared" si="14"/>
        <v>_</v>
      </c>
      <c r="T164" s="152" t="str">
        <f>+VLOOKUP($L164,Data_Validation!$A:$D,1,0)</f>
        <v>230</v>
      </c>
      <c r="U164" s="152" t="str">
        <f>+VLOOKUP($L164,Data_Validation!$A:$D,3,0)</f>
        <v>Bilan</v>
      </c>
      <c r="V164" s="152" t="str">
        <f>+VLOOKUP($L164,Data_Validation!$A:$D,4,0)</f>
        <v>Inventaire Véhicules Neufs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2952</v>
      </c>
      <c r="B165" s="708" t="s">
        <v>2953</v>
      </c>
      <c r="C165" s="710">
        <v>2300000</v>
      </c>
      <c r="D165" s="710">
        <v>-700000</v>
      </c>
      <c r="E165" s="710">
        <v>1600000</v>
      </c>
      <c r="F165" s="708" t="s">
        <v>2225</v>
      </c>
      <c r="G165" s="708" t="s">
        <v>359</v>
      </c>
      <c r="H165" s="664" t="s">
        <v>2997</v>
      </c>
      <c r="I165" s="664"/>
      <c r="J165" s="664"/>
      <c r="K165" s="664"/>
      <c r="L165" s="149" t="str">
        <f t="shared" si="10"/>
        <v>202I</v>
      </c>
      <c r="M165" s="150" t="str">
        <f t="shared" si="11"/>
        <v>RECEVABLE AVANCE COMPLEXE</v>
      </c>
      <c r="N165" s="151">
        <f>+IF(OR($Q165=Parametres!$G$2,$Q165=Parametres!$G$3),I165,C165)</f>
        <v>2300000</v>
      </c>
      <c r="O165" s="151">
        <f>+IF(OR($Q165=Parametres!$G$2,$Q165=Parametres!$G$3),J165,D165)</f>
        <v>-700000</v>
      </c>
      <c r="P165" s="151">
        <f>+IF(OR($Q165=Parametres!$G$2,$Q165=Parametres!$G$3),K165,E165)</f>
        <v>1600000</v>
      </c>
      <c r="Q165" s="150" t="str">
        <f t="shared" si="12"/>
        <v>2-Actifs</v>
      </c>
      <c r="R165" s="149" t="str">
        <f t="shared" si="13"/>
        <v>202</v>
      </c>
      <c r="S165" s="150" t="str">
        <f t="shared" si="14"/>
        <v>_</v>
      </c>
      <c r="T165" s="152" t="str">
        <f>+VLOOKUP($L165,Data_Validation!$A:$D,1,0)</f>
        <v>202I</v>
      </c>
      <c r="U165" s="152" t="str">
        <f>+VLOOKUP($L165,Data_Validation!$A:$D,3,0)</f>
        <v>Bilan</v>
      </c>
      <c r="V165" s="152" t="str">
        <f>+VLOOKUP($L165,Data_Validation!$A:$D,4,0)</f>
        <v>Avances à Recevoir Long Terme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2491</v>
      </c>
      <c r="B166" s="708" t="s">
        <v>2492</v>
      </c>
      <c r="C166" s="709">
        <v>3050000</v>
      </c>
      <c r="D166" s="709">
        <v>100000</v>
      </c>
      <c r="E166" s="709">
        <v>3150000</v>
      </c>
      <c r="F166" s="708" t="s">
        <v>2225</v>
      </c>
      <c r="G166" s="708" t="s">
        <v>2492</v>
      </c>
      <c r="H166" s="709" t="s">
        <v>2997</v>
      </c>
      <c r="I166" s="710"/>
      <c r="J166" s="710"/>
      <c r="K166" s="710"/>
      <c r="L166" s="149" t="str">
        <f t="shared" si="10"/>
        <v>297</v>
      </c>
      <c r="M166" s="150" t="str">
        <f t="shared" si="11"/>
        <v>AUTRES NOTES &amp; RECEVABLES</v>
      </c>
      <c r="N166" s="151">
        <f>+IF(OR($Q166=Parametres!$G$2,$Q166=Parametres!$G$3),I166,C166)</f>
        <v>3050000</v>
      </c>
      <c r="O166" s="499">
        <f>+IF(OR($Q166=Parametres!$G$2,$Q166=Parametres!$G$3),J166,D166)</f>
        <v>100000</v>
      </c>
      <c r="P166" s="151">
        <f>+IF(OR($Q166=Parametres!$G$2,$Q166=Parametres!$G$3),K166,E166)</f>
        <v>3150000</v>
      </c>
      <c r="Q166" s="150" t="str">
        <f t="shared" si="12"/>
        <v>2-Actifs</v>
      </c>
      <c r="R166" s="149" t="str">
        <f t="shared" si="13"/>
        <v>297</v>
      </c>
      <c r="S166" s="150" t="str">
        <f t="shared" si="14"/>
        <v>_</v>
      </c>
      <c r="T166" s="152" t="str">
        <f>+VLOOKUP($L166,Data_Validation!$A:$D,1,0)</f>
        <v>297</v>
      </c>
      <c r="U166" s="152" t="str">
        <f>+VLOOKUP($L166,Data_Validation!$A:$D,3,0)</f>
        <v>Bilan</v>
      </c>
      <c r="V166" s="152" t="str">
        <f>+VLOOKUP($L166,Data_Validation!$A:$D,4,0)</f>
        <v>Avances à Recevoir Long Terme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1074</v>
      </c>
      <c r="B167" s="708" t="s">
        <v>382</v>
      </c>
      <c r="C167" s="710">
        <v>3639187.76</v>
      </c>
      <c r="D167" s="710">
        <v>14564.42</v>
      </c>
      <c r="E167" s="710">
        <v>3653752.18</v>
      </c>
      <c r="F167" s="708" t="s">
        <v>2225</v>
      </c>
      <c r="G167" s="708" t="s">
        <v>382</v>
      </c>
      <c r="H167" s="664" t="s">
        <v>2997</v>
      </c>
      <c r="I167" s="663"/>
      <c r="J167" s="663"/>
      <c r="K167" s="663"/>
      <c r="L167" s="149" t="str">
        <f t="shared" si="10"/>
        <v>232</v>
      </c>
      <c r="M167" s="150" t="str">
        <f t="shared" si="11"/>
        <v>INV. CAMIONS NEUFS BMW</v>
      </c>
      <c r="N167" s="151">
        <f>+IF(OR($Q167=Parametres!$G$2,$Q167=Parametres!$G$3),I167,C167)</f>
        <v>3639187.76</v>
      </c>
      <c r="O167" s="151">
        <f>+IF(OR($Q167=Parametres!$G$2,$Q167=Parametres!$G$3),J167,D167)</f>
        <v>14564.42</v>
      </c>
      <c r="P167" s="151">
        <f>+IF(OR($Q167=Parametres!$G$2,$Q167=Parametres!$G$3),K167,E167)</f>
        <v>3653752.18</v>
      </c>
      <c r="Q167" s="150" t="str">
        <f t="shared" si="12"/>
        <v>2-Actifs</v>
      </c>
      <c r="R167" s="149" t="str">
        <f t="shared" si="13"/>
        <v>232</v>
      </c>
      <c r="S167" s="150" t="str">
        <f t="shared" si="14"/>
        <v>_</v>
      </c>
      <c r="T167" s="152" t="str">
        <f>+VLOOKUP($L167,Data_Validation!$A:$D,1,0)</f>
        <v>232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1366</v>
      </c>
      <c r="B168" s="708" t="s">
        <v>1367</v>
      </c>
      <c r="C168" s="710">
        <v>4854961.3099999996</v>
      </c>
      <c r="D168" s="710">
        <v>0</v>
      </c>
      <c r="E168" s="710">
        <v>4854961.3099999996</v>
      </c>
      <c r="F168" s="708" t="s">
        <v>2225</v>
      </c>
      <c r="G168" s="708" t="s">
        <v>1367</v>
      </c>
      <c r="H168" s="664" t="s">
        <v>2997</v>
      </c>
      <c r="I168" s="663"/>
      <c r="J168" s="663"/>
      <c r="K168" s="663"/>
      <c r="L168" s="149" t="str">
        <f t="shared" si="10"/>
        <v>296</v>
      </c>
      <c r="M168" s="150" t="str">
        <f t="shared" si="11"/>
        <v>AUTRES ACTIFS NON-FRANCHISES</v>
      </c>
      <c r="N168" s="151">
        <f>+IF(OR($Q168=Parametres!$G$2,$Q168=Parametres!$G$3),I168,C168)</f>
        <v>4854961.3099999996</v>
      </c>
      <c r="O168" s="151">
        <f>+IF(OR($Q168=Parametres!$G$2,$Q168=Parametres!$G$3),J168,D168)</f>
        <v>0</v>
      </c>
      <c r="P168" s="151">
        <f>+IF(OR($Q168=Parametres!$G$2,$Q168=Parametres!$G$3),K168,E168)</f>
        <v>4854961.3099999996</v>
      </c>
      <c r="Q168" s="150" t="str">
        <f t="shared" si="12"/>
        <v>2-Actifs</v>
      </c>
      <c r="R168" s="149" t="str">
        <f t="shared" si="13"/>
        <v>296</v>
      </c>
      <c r="S168" s="150" t="str">
        <f t="shared" si="14"/>
        <v>_</v>
      </c>
      <c r="T168" s="152" t="str">
        <f>+VLOOKUP($L168,Data_Validation!$A:$D,1,0)</f>
        <v>296</v>
      </c>
      <c r="U168" s="152" t="str">
        <f>+VLOOKUP($L168,Data_Validation!$A:$D,3,0)</f>
        <v>Bilan</v>
      </c>
      <c r="V168" s="152" t="str">
        <f>+VLOOKUP($L168,Data_Validation!$A:$D,4,0)</f>
        <v>Achalandage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1851</v>
      </c>
      <c r="B169" s="708" t="s">
        <v>363</v>
      </c>
      <c r="C169" s="710">
        <v>-8741587.8399999999</v>
      </c>
      <c r="D169" s="710">
        <v>2000765.58</v>
      </c>
      <c r="E169" s="710">
        <v>-6740822.2599999998</v>
      </c>
      <c r="F169" s="708" t="s">
        <v>2226</v>
      </c>
      <c r="G169" s="708" t="s">
        <v>363</v>
      </c>
      <c r="H169" s="657" t="s">
        <v>2997</v>
      </c>
      <c r="I169" s="656"/>
      <c r="J169" s="656"/>
      <c r="K169" s="656"/>
      <c r="L169" s="149" t="str">
        <f t="shared" si="10"/>
        <v>310</v>
      </c>
      <c r="M169" s="150" t="str">
        <f t="shared" si="11"/>
        <v>FINANCEMENT VEHICULES NEUFS</v>
      </c>
      <c r="N169" s="151">
        <f>+IF(OR($Q169=Parametres!$G$2,$Q169=Parametres!$G$3),I169,C169)</f>
        <v>-8741587.8399999999</v>
      </c>
      <c r="O169" s="151">
        <f>+IF(OR($Q169=Parametres!$G$2,$Q169=Parametres!$G$3),J169,D169)</f>
        <v>2000765.58</v>
      </c>
      <c r="P169" s="151">
        <f>+IF(OR($Q169=Parametres!$G$2,$Q169=Parametres!$G$3),K169,E169)</f>
        <v>-6740822.2599999998</v>
      </c>
      <c r="Q169" s="150" t="str">
        <f t="shared" si="12"/>
        <v>3-Passifs</v>
      </c>
      <c r="R169" s="149" t="str">
        <f t="shared" si="13"/>
        <v>310</v>
      </c>
      <c r="S169" s="150" t="str">
        <f t="shared" si="14"/>
        <v>_</v>
      </c>
      <c r="T169" s="152" t="str">
        <f>+VLOOKUP($L169,Data_Validation!$A:$D,1,0)</f>
        <v>310</v>
      </c>
      <c r="U169" s="152" t="str">
        <f>+VLOOKUP($L169,Data_Validation!$A:$D,3,0)</f>
        <v>Bilan</v>
      </c>
      <c r="V169" s="152" t="str">
        <f>+VLOOKUP($L169,Data_Validation!$A:$D,4,0)</f>
        <v>Effet à Payer Véhicules Neufs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1849</v>
      </c>
      <c r="B170" s="708" t="s">
        <v>355</v>
      </c>
      <c r="C170" s="709">
        <v>-1360966.64</v>
      </c>
      <c r="D170" s="709">
        <v>722637.84</v>
      </c>
      <c r="E170" s="709">
        <v>-638328.80000000005</v>
      </c>
      <c r="F170" s="708" t="s">
        <v>2226</v>
      </c>
      <c r="G170" s="708" t="s">
        <v>355</v>
      </c>
      <c r="H170" s="709" t="s">
        <v>2997</v>
      </c>
      <c r="I170" s="710"/>
      <c r="J170" s="710"/>
      <c r="K170" s="710"/>
      <c r="L170" s="149" t="str">
        <f t="shared" si="10"/>
        <v>311</v>
      </c>
      <c r="M170" s="150" t="str">
        <f t="shared" si="11"/>
        <v>FINANCEMENT VEHICULES USAGES</v>
      </c>
      <c r="N170" s="151">
        <f>+IF(OR($Q170=Parametres!$G$2,$Q170=Parametres!$G$3),I170,C170)</f>
        <v>-1360966.64</v>
      </c>
      <c r="O170" s="497">
        <f>+IF(OR($Q170=Parametres!$G$2,$Q170=Parametres!$G$3),J170,D170)</f>
        <v>722637.84</v>
      </c>
      <c r="P170" s="151">
        <f>+IF(OR($Q170=Parametres!$G$2,$Q170=Parametres!$G$3),K170,E170)</f>
        <v>-638328.80000000005</v>
      </c>
      <c r="Q170" s="150" t="str">
        <f t="shared" si="12"/>
        <v>3-Passifs</v>
      </c>
      <c r="R170" s="149" t="str">
        <f t="shared" si="13"/>
        <v>311</v>
      </c>
      <c r="S170" s="150" t="str">
        <f t="shared" si="14"/>
        <v>_</v>
      </c>
      <c r="T170" s="152" t="str">
        <f>+VLOOKUP($L170,Data_Validation!$A:$D,1,0)</f>
        <v>311</v>
      </c>
      <c r="U170" s="152" t="str">
        <f>+VLOOKUP($L170,Data_Validation!$A:$D,3,0)</f>
        <v>Bilan</v>
      </c>
      <c r="V170" s="152" t="str">
        <f>+VLOOKUP($L170,Data_Validation!$A:$D,4,0)</f>
        <v>Effet à Payer Véhicules Usagés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1100</v>
      </c>
      <c r="B171" s="708" t="s">
        <v>1101</v>
      </c>
      <c r="C171" s="710">
        <v>-1150889</v>
      </c>
      <c r="D171" s="710">
        <v>0</v>
      </c>
      <c r="E171" s="710">
        <v>-1150889</v>
      </c>
      <c r="F171" s="708" t="s">
        <v>2226</v>
      </c>
      <c r="G171" s="708" t="s">
        <v>1101</v>
      </c>
      <c r="H171" s="664" t="s">
        <v>2997</v>
      </c>
      <c r="I171" s="664"/>
      <c r="J171" s="664"/>
      <c r="K171" s="664"/>
      <c r="L171" s="149" t="str">
        <f t="shared" si="10"/>
        <v>337A</v>
      </c>
      <c r="M171" s="150" t="str">
        <f t="shared" si="11"/>
        <v>IMPOTS FUTURS</v>
      </c>
      <c r="N171" s="151">
        <f>+IF(OR($Q171=Parametres!$G$2,$Q171=Parametres!$G$3),I171,C171)</f>
        <v>-1150889</v>
      </c>
      <c r="O171" s="151">
        <f>+IF(OR($Q171=Parametres!$G$2,$Q171=Parametres!$G$3),J171,D171)</f>
        <v>0</v>
      </c>
      <c r="P171" s="151">
        <f>+IF(OR($Q171=Parametres!$G$2,$Q171=Parametres!$G$3),K171,E171)</f>
        <v>-1150889</v>
      </c>
      <c r="Q171" s="150" t="str">
        <f t="shared" si="12"/>
        <v>3-Passifs</v>
      </c>
      <c r="R171" s="149" t="str">
        <f t="shared" si="13"/>
        <v>337A</v>
      </c>
      <c r="S171" s="150" t="str">
        <f t="shared" si="14"/>
        <v>_</v>
      </c>
      <c r="T171" s="152" t="str">
        <f>+VLOOKUP($L171,Data_Validation!$A:$D,1,0)</f>
        <v>337A</v>
      </c>
      <c r="U171" s="152" t="str">
        <f>+VLOOKUP($L171,Data_Validation!$A:$D,3,0)</f>
        <v>Bilan</v>
      </c>
      <c r="V171" s="152" t="str">
        <f>+VLOOKUP($L171,Data_Validation!$A:$D,4,0)</f>
        <v>Impôts Futurs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2427</v>
      </c>
      <c r="B172" s="708" t="s">
        <v>2428</v>
      </c>
      <c r="C172" s="709">
        <v>-1033477.51</v>
      </c>
      <c r="D172" s="709">
        <v>-14235.25</v>
      </c>
      <c r="E172" s="709">
        <v>-1047712.76</v>
      </c>
      <c r="F172" s="708" t="s">
        <v>2226</v>
      </c>
      <c r="G172" s="708" t="s">
        <v>2428</v>
      </c>
      <c r="H172" s="709" t="s">
        <v>2997</v>
      </c>
      <c r="I172" s="710"/>
      <c r="J172" s="710"/>
      <c r="K172" s="710"/>
      <c r="L172" s="149" t="str">
        <f t="shared" si="10"/>
        <v>327</v>
      </c>
      <c r="M172" s="150" t="str">
        <f t="shared" si="11"/>
        <v>IMPOTS SUR LE REVENU</v>
      </c>
      <c r="N172" s="151">
        <f>+IF(OR($Q172=Parametres!$G$2,$Q172=Parametres!$G$3),I172,C172)</f>
        <v>-1033477.51</v>
      </c>
      <c r="O172" s="498">
        <f>+IF(OR($Q172=Parametres!$G$2,$Q172=Parametres!$G$3),J172,D172)</f>
        <v>-14235.25</v>
      </c>
      <c r="P172" s="151">
        <f>+IF(OR($Q172=Parametres!$G$2,$Q172=Parametres!$G$3),K172,E172)</f>
        <v>-1047712.76</v>
      </c>
      <c r="Q172" s="150" t="str">
        <f t="shared" si="12"/>
        <v>3-Passifs</v>
      </c>
      <c r="R172" s="149" t="str">
        <f t="shared" si="13"/>
        <v>327</v>
      </c>
      <c r="S172" s="150" t="str">
        <f t="shared" si="14"/>
        <v>_</v>
      </c>
      <c r="T172" s="152" t="str">
        <f>+VLOOKUP($L172,Data_Validation!$A:$D,1,0)</f>
        <v>327</v>
      </c>
      <c r="U172" s="152" t="str">
        <f>+VLOOKUP($L172,Data_Validation!$A:$D,3,0)</f>
        <v>Bilan</v>
      </c>
      <c r="V172" s="152" t="str">
        <f>+VLOOKUP($L172,Data_Validation!$A:$D,4,0)</f>
        <v>Impôts à payer</v>
      </c>
      <c r="W172" s="152">
        <f>+VLOOKUP($L172,Data_Validation!$A:$E,5,0)</f>
        <v>0</v>
      </c>
      <c r="X172" s="152">
        <f>+VLOOKUP($L172,Data_Validation!$A:$F,6,0)</f>
        <v>0</v>
      </c>
    </row>
    <row r="173" spans="1:24" ht="15" customHeight="1">
      <c r="A173" s="708" t="s">
        <v>1130</v>
      </c>
      <c r="B173" s="708" t="s">
        <v>467</v>
      </c>
      <c r="C173" s="710">
        <v>-825784.87</v>
      </c>
      <c r="D173" s="710">
        <v>-10088.61</v>
      </c>
      <c r="E173" s="710">
        <v>-835873.48</v>
      </c>
      <c r="F173" s="708" t="s">
        <v>2226</v>
      </c>
      <c r="G173" s="708" t="s">
        <v>467</v>
      </c>
      <c r="H173" s="657" t="s">
        <v>2997</v>
      </c>
      <c r="I173" s="656"/>
      <c r="J173" s="656"/>
      <c r="K173" s="656"/>
      <c r="L173" s="149" t="str">
        <f t="shared" si="10"/>
        <v>356</v>
      </c>
      <c r="M173" s="150" t="str">
        <f t="shared" si="11"/>
        <v>AMORT.CUM. AMELIORATION LOCATIVE</v>
      </c>
      <c r="N173" s="151">
        <f>+IF(OR($Q173=Parametres!$G$2,$Q173=Parametres!$G$3),I173,C173)</f>
        <v>-825784.87</v>
      </c>
      <c r="O173" s="151">
        <f>+IF(OR($Q173=Parametres!$G$2,$Q173=Parametres!$G$3),J173,D173)</f>
        <v>-10088.61</v>
      </c>
      <c r="P173" s="151">
        <f>+IF(OR($Q173=Parametres!$G$2,$Q173=Parametres!$G$3),K173,E173)</f>
        <v>-835873.48</v>
      </c>
      <c r="Q173" s="150" t="str">
        <f t="shared" si="12"/>
        <v>3-Passifs</v>
      </c>
      <c r="R173" s="149" t="str">
        <f t="shared" si="13"/>
        <v>356</v>
      </c>
      <c r="S173" s="150" t="str">
        <f t="shared" si="14"/>
        <v>_</v>
      </c>
      <c r="T173" s="152" t="str">
        <f>+VLOOKUP($L173,Data_Validation!$A:$D,1,0)</f>
        <v>356</v>
      </c>
      <c r="U173" s="152" t="str">
        <f>+VLOOKUP($L173,Data_Validation!$A:$D,3,0)</f>
        <v>Bilan</v>
      </c>
      <c r="V173" s="152" t="str">
        <f>+VLOOKUP($L173,Data_Validation!$A:$D,4,0)</f>
        <v>Améliorations Locatives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1711</v>
      </c>
      <c r="B174" s="708" t="s">
        <v>378</v>
      </c>
      <c r="C174" s="709">
        <v>-491247.25</v>
      </c>
      <c r="D174" s="709">
        <v>-4064.55</v>
      </c>
      <c r="E174" s="709">
        <v>-495311.8</v>
      </c>
      <c r="F174" s="708" t="s">
        <v>2226</v>
      </c>
      <c r="G174" s="708" t="s">
        <v>378</v>
      </c>
      <c r="H174" s="709" t="s">
        <v>2997</v>
      </c>
      <c r="I174" s="710"/>
      <c r="J174" s="710"/>
      <c r="K174" s="710"/>
      <c r="L174" s="149" t="str">
        <f t="shared" si="10"/>
        <v>352</v>
      </c>
      <c r="M174" s="150" t="str">
        <f t="shared" si="11"/>
        <v>AMORT.CUM. EQUIP. &amp; OUTILLAGES</v>
      </c>
      <c r="N174" s="151">
        <f>+IF(OR($Q174=Parametres!$G$2,$Q174=Parametres!$G$3),I174,C174)</f>
        <v>-491247.25</v>
      </c>
      <c r="O174" s="498">
        <f>+IF(OR($Q174=Parametres!$G$2,$Q174=Parametres!$G$3),J174,D174)</f>
        <v>-4064.55</v>
      </c>
      <c r="P174" s="151">
        <f>+IF(OR($Q174=Parametres!$G$2,$Q174=Parametres!$G$3),K174,E174)</f>
        <v>-495311.8</v>
      </c>
      <c r="Q174" s="150" t="str">
        <f t="shared" si="12"/>
        <v>3-Passifs</v>
      </c>
      <c r="R174" s="149" t="str">
        <f t="shared" si="13"/>
        <v>352</v>
      </c>
      <c r="S174" s="150" t="str">
        <f t="shared" si="14"/>
        <v>_</v>
      </c>
      <c r="T174" s="152" t="str">
        <f>+VLOOKUP($L174,Data_Validation!$A:$D,1,0)</f>
        <v>352</v>
      </c>
      <c r="U174" s="152" t="str">
        <f>+VLOOKUP($L174,Data_Validation!$A:$D,3,0)</f>
        <v>Bilan</v>
      </c>
      <c r="V174" s="152" t="str">
        <f>+VLOOKUP($L174,Data_Validation!$A:$D,4,0)</f>
        <v>Équipements Service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1688</v>
      </c>
      <c r="B175" s="708" t="s">
        <v>1689</v>
      </c>
      <c r="C175" s="710">
        <v>-294186.57</v>
      </c>
      <c r="D175" s="710">
        <v>-3092.21</v>
      </c>
      <c r="E175" s="710">
        <v>-297278.78000000003</v>
      </c>
      <c r="F175" s="708" t="s">
        <v>2226</v>
      </c>
      <c r="G175" s="708" t="s">
        <v>1689</v>
      </c>
      <c r="H175" s="664" t="s">
        <v>2997</v>
      </c>
      <c r="I175" s="663"/>
      <c r="J175" s="663"/>
      <c r="K175" s="663"/>
      <c r="L175" s="149" t="str">
        <f t="shared" si="10"/>
        <v>354A</v>
      </c>
      <c r="M175" s="150" t="str">
        <f t="shared" si="11"/>
        <v>AMORT.CUM. MEUBLES &amp; ACCESSOIRES</v>
      </c>
      <c r="N175" s="151">
        <f>+IF(OR($Q175=Parametres!$G$2,$Q175=Parametres!$G$3),I175,C175)</f>
        <v>-294186.57</v>
      </c>
      <c r="O175" s="151">
        <f>+IF(OR($Q175=Parametres!$G$2,$Q175=Parametres!$G$3),J175,D175)</f>
        <v>-3092.21</v>
      </c>
      <c r="P175" s="151">
        <f>+IF(OR($Q175=Parametres!$G$2,$Q175=Parametres!$G$3),K175,E175)</f>
        <v>-297278.78000000003</v>
      </c>
      <c r="Q175" s="150" t="str">
        <f t="shared" si="12"/>
        <v>3-Passifs</v>
      </c>
      <c r="R175" s="149" t="str">
        <f t="shared" si="13"/>
        <v>354A</v>
      </c>
      <c r="S175" s="150" t="str">
        <f t="shared" si="14"/>
        <v>_</v>
      </c>
      <c r="T175" s="152" t="str">
        <f>+VLOOKUP($L175,Data_Validation!$A:$D,1,0)</f>
        <v>354A</v>
      </c>
      <c r="U175" s="152" t="str">
        <f>+VLOOKUP($L175,Data_Validation!$A:$D,3,0)</f>
        <v>Bilan</v>
      </c>
      <c r="V175" s="152" t="str">
        <f>+VLOOKUP($L175,Data_Validation!$A:$D,4,0)</f>
        <v>Mobilier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1846</v>
      </c>
      <c r="B176" s="708" t="s">
        <v>354</v>
      </c>
      <c r="C176" s="710">
        <v>-262358.64</v>
      </c>
      <c r="D176" s="710">
        <v>143817.64000000001</v>
      </c>
      <c r="E176" s="710">
        <v>-118541</v>
      </c>
      <c r="F176" s="708" t="s">
        <v>2226</v>
      </c>
      <c r="G176" s="708" t="s">
        <v>354</v>
      </c>
      <c r="H176" s="664" t="s">
        <v>2997</v>
      </c>
      <c r="I176" s="663"/>
      <c r="J176" s="663"/>
      <c r="K176" s="663"/>
      <c r="L176" s="149" t="str">
        <f t="shared" si="10"/>
        <v>300</v>
      </c>
      <c r="M176" s="150" t="str">
        <f t="shared" si="11"/>
        <v>COMPTES FOURNISSEURS</v>
      </c>
      <c r="N176" s="151">
        <f>+IF(OR($Q176=Parametres!$G$2,$Q176=Parametres!$G$3),I176,C176)</f>
        <v>-262358.64</v>
      </c>
      <c r="O176" s="151">
        <f>+IF(OR($Q176=Parametres!$G$2,$Q176=Parametres!$G$3),J176,D176)</f>
        <v>143817.64000000001</v>
      </c>
      <c r="P176" s="151">
        <f>+IF(OR($Q176=Parametres!$G$2,$Q176=Parametres!$G$3),K176,E176)</f>
        <v>-118541</v>
      </c>
      <c r="Q176" s="150" t="str">
        <f t="shared" si="12"/>
        <v>3-Passifs</v>
      </c>
      <c r="R176" s="149" t="str">
        <f t="shared" si="13"/>
        <v>300</v>
      </c>
      <c r="S176" s="150" t="str">
        <f t="shared" si="14"/>
        <v>_</v>
      </c>
      <c r="T176" s="152" t="str">
        <f>+VLOOKUP($L176,Data_Validation!$A:$D,1,0)</f>
        <v>300</v>
      </c>
      <c r="U176" s="152" t="str">
        <f>+VLOOKUP($L176,Data_Validation!$A:$D,3,0)</f>
        <v>Bilan</v>
      </c>
      <c r="V176" s="152" t="str">
        <f>+VLOOKUP($L176,Data_Validation!$A:$D,4,0)</f>
        <v>Comptes à Payer Fournisseurs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1845</v>
      </c>
      <c r="B177" s="708" t="s">
        <v>403</v>
      </c>
      <c r="C177" s="710">
        <v>-229027.96</v>
      </c>
      <c r="D177" s="710">
        <v>59389.35</v>
      </c>
      <c r="E177" s="710">
        <v>-169638.61</v>
      </c>
      <c r="F177" s="708" t="s">
        <v>2226</v>
      </c>
      <c r="G177" s="708" t="s">
        <v>403</v>
      </c>
      <c r="H177" s="664" t="s">
        <v>2997</v>
      </c>
      <c r="I177" s="663"/>
      <c r="J177" s="663"/>
      <c r="K177" s="663"/>
      <c r="L177" s="149" t="str">
        <f t="shared" si="10"/>
        <v>324</v>
      </c>
      <c r="M177" s="150" t="str">
        <f t="shared" si="11"/>
        <v>TPS A PAYER</v>
      </c>
      <c r="N177" s="151">
        <f>+IF(OR($Q177=Parametres!$G$2,$Q177=Parametres!$G$3),I177,C177)</f>
        <v>-229027.96</v>
      </c>
      <c r="O177" s="151">
        <f>+IF(OR($Q177=Parametres!$G$2,$Q177=Parametres!$G$3),J177,D177)</f>
        <v>59389.35</v>
      </c>
      <c r="P177" s="151">
        <f>+IF(OR($Q177=Parametres!$G$2,$Q177=Parametres!$G$3),K177,E177)</f>
        <v>-169638.61</v>
      </c>
      <c r="Q177" s="150" t="str">
        <f t="shared" si="12"/>
        <v>3-Passifs</v>
      </c>
      <c r="R177" s="149" t="str">
        <f t="shared" si="13"/>
        <v>324</v>
      </c>
      <c r="S177" s="150" t="str">
        <f t="shared" si="14"/>
        <v>_</v>
      </c>
      <c r="T177" s="152" t="str">
        <f>+VLOOKUP($L177,Data_Validation!$A:$D,1,0)</f>
        <v>324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1789</v>
      </c>
      <c r="B178" s="708" t="s">
        <v>1790</v>
      </c>
      <c r="C178" s="710">
        <v>-157258.15</v>
      </c>
      <c r="D178" s="710">
        <v>-627.5</v>
      </c>
      <c r="E178" s="710">
        <v>-157885.65</v>
      </c>
      <c r="F178" s="708" t="s">
        <v>2226</v>
      </c>
      <c r="G178" s="708" t="s">
        <v>1790</v>
      </c>
      <c r="H178" s="664" t="s">
        <v>2997</v>
      </c>
      <c r="I178" s="663"/>
      <c r="J178" s="663"/>
      <c r="K178" s="663"/>
      <c r="L178" s="149" t="str">
        <f t="shared" si="10"/>
        <v>354C</v>
      </c>
      <c r="M178" s="150" t="str">
        <f t="shared" si="11"/>
        <v>AMORT.CUM. EQUIP. INFORMATIQUE</v>
      </c>
      <c r="N178" s="151">
        <f>+IF(OR($Q178=Parametres!$G$2,$Q178=Parametres!$G$3),I178,C178)</f>
        <v>-157258.15</v>
      </c>
      <c r="O178" s="151">
        <f>+IF(OR($Q178=Parametres!$G$2,$Q178=Parametres!$G$3),J178,D178)</f>
        <v>-627.5</v>
      </c>
      <c r="P178" s="151">
        <f>+IF(OR($Q178=Parametres!$G$2,$Q178=Parametres!$G$3),K178,E178)</f>
        <v>-157885.65</v>
      </c>
      <c r="Q178" s="150" t="str">
        <f t="shared" si="12"/>
        <v>3-Passifs</v>
      </c>
      <c r="R178" s="149" t="str">
        <f t="shared" si="13"/>
        <v>354C</v>
      </c>
      <c r="S178" s="150" t="str">
        <f t="shared" si="14"/>
        <v>_</v>
      </c>
      <c r="T178" s="152" t="str">
        <f>+VLOOKUP($L178,Data_Validation!$A:$D,1,0)</f>
        <v>354C</v>
      </c>
      <c r="U178" s="152" t="str">
        <f>+VLOOKUP($L178,Data_Validation!$A:$D,3,0)</f>
        <v>Bilan</v>
      </c>
      <c r="V178" s="152" t="str">
        <f>+VLOOKUP($L178,Data_Validation!$A:$D,4,0)</f>
        <v>Équipements Informatique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1108</v>
      </c>
      <c r="B179" s="708" t="s">
        <v>443</v>
      </c>
      <c r="C179" s="710">
        <v>-154004.29</v>
      </c>
      <c r="D179" s="710">
        <v>-30675.86</v>
      </c>
      <c r="E179" s="710">
        <v>-184680.15</v>
      </c>
      <c r="F179" s="708" t="s">
        <v>2226</v>
      </c>
      <c r="G179" s="708" t="s">
        <v>443</v>
      </c>
      <c r="H179" s="664" t="s">
        <v>2997</v>
      </c>
      <c r="I179" s="663"/>
      <c r="J179" s="663"/>
      <c r="K179" s="663"/>
      <c r="L179" s="149" t="str">
        <f t="shared" si="10"/>
        <v>321A</v>
      </c>
      <c r="M179" s="150" t="str">
        <f t="shared" si="11"/>
        <v>VACANCES PAYEES</v>
      </c>
      <c r="N179" s="151">
        <f>+IF(OR($Q179=Parametres!$G$2,$Q179=Parametres!$G$3),I179,C179)</f>
        <v>-154004.29</v>
      </c>
      <c r="O179" s="151">
        <f>+IF(OR($Q179=Parametres!$G$2,$Q179=Parametres!$G$3),J179,D179)</f>
        <v>-30675.86</v>
      </c>
      <c r="P179" s="151">
        <f>+IF(OR($Q179=Parametres!$G$2,$Q179=Parametres!$G$3),K179,E179)</f>
        <v>-184680.15</v>
      </c>
      <c r="Q179" s="150" t="str">
        <f t="shared" si="12"/>
        <v>3-Passifs</v>
      </c>
      <c r="R179" s="149" t="str">
        <f t="shared" si="13"/>
        <v>321A</v>
      </c>
      <c r="S179" s="150" t="str">
        <f t="shared" si="14"/>
        <v>_</v>
      </c>
      <c r="T179" s="152" t="str">
        <f>+VLOOKUP($L179,Data_Validation!$A:$D,1,0)</f>
        <v>321A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2305</v>
      </c>
      <c r="B180" s="708" t="s">
        <v>2306</v>
      </c>
      <c r="C180" s="710">
        <v>-150731</v>
      </c>
      <c r="D180" s="710">
        <v>9091</v>
      </c>
      <c r="E180" s="710">
        <v>-141640</v>
      </c>
      <c r="F180" s="708" t="s">
        <v>2226</v>
      </c>
      <c r="G180" s="708" t="s">
        <v>2306</v>
      </c>
      <c r="H180" s="664" t="s">
        <v>2997</v>
      </c>
      <c r="I180" s="663"/>
      <c r="J180" s="663"/>
      <c r="K180" s="663"/>
      <c r="L180" s="149" t="str">
        <f t="shared" si="10"/>
        <v>332</v>
      </c>
      <c r="M180" s="150" t="str">
        <f t="shared" si="11"/>
        <v>REVENU HOLDBACK DIFFERE</v>
      </c>
      <c r="N180" s="151">
        <f>+IF(OR($Q180=Parametres!$G$2,$Q180=Parametres!$G$3),I180,C180)</f>
        <v>-150731</v>
      </c>
      <c r="O180" s="151">
        <f>+IF(OR($Q180=Parametres!$G$2,$Q180=Parametres!$G$3),J180,D180)</f>
        <v>9091</v>
      </c>
      <c r="P180" s="151">
        <f>+IF(OR($Q180=Parametres!$G$2,$Q180=Parametres!$G$3),K180,E180)</f>
        <v>-141640</v>
      </c>
      <c r="Q180" s="150" t="str">
        <f t="shared" si="12"/>
        <v>3-Passifs</v>
      </c>
      <c r="R180" s="149" t="str">
        <f t="shared" si="13"/>
        <v>332</v>
      </c>
      <c r="S180" s="150" t="str">
        <f t="shared" si="14"/>
        <v>_</v>
      </c>
      <c r="T180" s="152" t="str">
        <f>+VLOOKUP($L180,Data_Validation!$A:$D,1,0)</f>
        <v>332</v>
      </c>
      <c r="U180" s="152" t="str">
        <f>+VLOOKUP($L180,Data_Validation!$A:$D,3,0)</f>
        <v>Bilan</v>
      </c>
      <c r="V180" s="152" t="str">
        <f>+VLOOKUP($L180,Data_Validation!$A:$D,4,0)</f>
        <v>Autres Courus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391</v>
      </c>
      <c r="B181" s="708" t="s">
        <v>377</v>
      </c>
      <c r="C181" s="710">
        <v>-119000</v>
      </c>
      <c r="D181" s="710">
        <v>-28935.73</v>
      </c>
      <c r="E181" s="710">
        <v>-147935.73000000001</v>
      </c>
      <c r="F181" s="708" t="s">
        <v>2226</v>
      </c>
      <c r="G181" s="708" t="s">
        <v>377</v>
      </c>
      <c r="H181" s="657" t="s">
        <v>2997</v>
      </c>
      <c r="I181" s="656"/>
      <c r="J181" s="656"/>
      <c r="K181" s="656"/>
      <c r="L181" s="149" t="str">
        <f t="shared" si="10"/>
        <v>303</v>
      </c>
      <c r="M181" s="150" t="str">
        <f t="shared" si="11"/>
        <v>DEPOTS DE CLIENTS</v>
      </c>
      <c r="N181" s="151">
        <f>+IF(OR($Q181=Parametres!$G$2,$Q181=Parametres!$G$3),I181,C181)</f>
        <v>-119000</v>
      </c>
      <c r="O181" s="151">
        <f>+IF(OR($Q181=Parametres!$G$2,$Q181=Parametres!$G$3),J181,D181)</f>
        <v>-28935.73</v>
      </c>
      <c r="P181" s="151">
        <f>+IF(OR($Q181=Parametres!$G$2,$Q181=Parametres!$G$3),K181,E181)</f>
        <v>-147935.73000000001</v>
      </c>
      <c r="Q181" s="150" t="str">
        <f t="shared" si="12"/>
        <v>3-Passifs</v>
      </c>
      <c r="R181" s="149" t="str">
        <f t="shared" si="13"/>
        <v>303</v>
      </c>
      <c r="S181" s="150" t="str">
        <f t="shared" si="14"/>
        <v>_</v>
      </c>
      <c r="T181" s="152" t="str">
        <f>+VLOOKUP($L181,Data_Validation!$A:$D,1,0)</f>
        <v>303</v>
      </c>
      <c r="U181" s="152" t="str">
        <f>+VLOOKUP($L181,Data_Validation!$A:$D,3,0)</f>
        <v>Bilan</v>
      </c>
      <c r="V181" s="152" t="str">
        <f>+VLOOKUP($L181,Data_Validation!$A:$D,4,0)</f>
        <v>Dépôts de Client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1206</v>
      </c>
      <c r="B182" s="708" t="s">
        <v>1207</v>
      </c>
      <c r="C182" s="710">
        <v>-66815.28</v>
      </c>
      <c r="D182" s="710">
        <v>-452.56</v>
      </c>
      <c r="E182" s="710">
        <v>-67267.839999999997</v>
      </c>
      <c r="F182" s="708" t="s">
        <v>2226</v>
      </c>
      <c r="G182" s="708" t="s">
        <v>1207</v>
      </c>
      <c r="H182" s="657" t="s">
        <v>2997</v>
      </c>
      <c r="I182" s="656"/>
      <c r="J182" s="656"/>
      <c r="K182" s="656"/>
      <c r="L182" s="149" t="str">
        <f t="shared" si="10"/>
        <v>354B</v>
      </c>
      <c r="M182" s="150" t="str">
        <f t="shared" si="11"/>
        <v>AMORT.CUM. ENSEIGNE</v>
      </c>
      <c r="N182" s="151">
        <f>+IF(OR($Q182=Parametres!$G$2,$Q182=Parametres!$G$3),I182,C182)</f>
        <v>-66815.28</v>
      </c>
      <c r="O182" s="151">
        <f>+IF(OR($Q182=Parametres!$G$2,$Q182=Parametres!$G$3),J182,D182)</f>
        <v>-452.56</v>
      </c>
      <c r="P182" s="151">
        <f>+IF(OR($Q182=Parametres!$G$2,$Q182=Parametres!$G$3),K182,E182)</f>
        <v>-67267.839999999997</v>
      </c>
      <c r="Q182" s="150" t="str">
        <f t="shared" si="12"/>
        <v>3-Passifs</v>
      </c>
      <c r="R182" s="149" t="str">
        <f t="shared" si="13"/>
        <v>354B</v>
      </c>
      <c r="S182" s="150" t="str">
        <f t="shared" si="14"/>
        <v>_</v>
      </c>
      <c r="T182" s="152" t="str">
        <f>+VLOOKUP($L182,Data_Validation!$A:$D,1,0)</f>
        <v>354B</v>
      </c>
      <c r="U182" s="152" t="str">
        <f>+VLOOKUP($L182,Data_Validation!$A:$D,3,0)</f>
        <v>Bilan</v>
      </c>
      <c r="V182" s="152" t="str">
        <f>+VLOOKUP($L182,Data_Validation!$A:$D,4,0)</f>
        <v>Enseigne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351</v>
      </c>
      <c r="B183" s="708" t="s">
        <v>1829</v>
      </c>
      <c r="C183" s="710">
        <v>-59913.1</v>
      </c>
      <c r="D183" s="710">
        <v>-413.62</v>
      </c>
      <c r="E183" s="710">
        <v>-60326.720000000001</v>
      </c>
      <c r="F183" s="708" t="s">
        <v>2226</v>
      </c>
      <c r="G183" s="708" t="s">
        <v>403</v>
      </c>
      <c r="H183" s="664" t="s">
        <v>2997</v>
      </c>
      <c r="I183" s="663"/>
      <c r="J183" s="663"/>
      <c r="K183" s="663"/>
      <c r="L183" s="149" t="str">
        <f t="shared" si="10"/>
        <v>325</v>
      </c>
      <c r="M183" s="150" t="str">
        <f t="shared" si="11"/>
        <v>TVQ A PAYER</v>
      </c>
      <c r="N183" s="151">
        <f>+IF(OR($Q183=Parametres!$G$2,$Q183=Parametres!$G$3),I183,C183)</f>
        <v>-59913.1</v>
      </c>
      <c r="O183" s="151">
        <f>+IF(OR($Q183=Parametres!$G$2,$Q183=Parametres!$G$3),J183,D183)</f>
        <v>-413.62</v>
      </c>
      <c r="P183" s="151">
        <f>+IF(OR($Q183=Parametres!$G$2,$Q183=Parametres!$G$3),K183,E183)</f>
        <v>-60326.720000000001</v>
      </c>
      <c r="Q183" s="150" t="str">
        <f t="shared" si="12"/>
        <v>3-Passifs</v>
      </c>
      <c r="R183" s="149" t="str">
        <f t="shared" si="13"/>
        <v>324</v>
      </c>
      <c r="S183" s="150" t="str">
        <f t="shared" si="14"/>
        <v>_</v>
      </c>
      <c r="T183" s="152" t="str">
        <f>+VLOOKUP($L183,Data_Validation!$A:$D,1,0)</f>
        <v>325</v>
      </c>
      <c r="U183" s="152" t="str">
        <f>+VLOOKUP($L183,Data_Validation!$A:$D,3,0)</f>
        <v>Bilan</v>
      </c>
      <c r="V183" s="152" t="str">
        <f>+VLOOKUP($L183,Data_Validation!$A:$D,4,0)</f>
        <v>Taxes de Vente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2333</v>
      </c>
      <c r="B184" s="708" t="s">
        <v>2334</v>
      </c>
      <c r="C184" s="710">
        <v>-41524.160000000003</v>
      </c>
      <c r="D184" s="710">
        <v>-4134.16</v>
      </c>
      <c r="E184" s="710">
        <v>-45658.32</v>
      </c>
      <c r="F184" s="708" t="s">
        <v>2226</v>
      </c>
      <c r="G184" s="708" t="s">
        <v>2334</v>
      </c>
      <c r="H184" s="657" t="s">
        <v>2997</v>
      </c>
      <c r="I184" s="656"/>
      <c r="J184" s="656"/>
      <c r="K184" s="656"/>
      <c r="L184" s="149" t="str">
        <f t="shared" si="10"/>
        <v>328</v>
      </c>
      <c r="M184" s="150" t="str">
        <f t="shared" si="11"/>
        <v>BONUS EMPLOYES A/P</v>
      </c>
      <c r="N184" s="151">
        <f>+IF(OR($Q184=Parametres!$G$2,$Q184=Parametres!$G$3),I184,C184)</f>
        <v>-41524.160000000003</v>
      </c>
      <c r="O184" s="151">
        <f>+IF(OR($Q184=Parametres!$G$2,$Q184=Parametres!$G$3),J184,D184)</f>
        <v>-4134.16</v>
      </c>
      <c r="P184" s="151">
        <f>+IF(OR($Q184=Parametres!$G$2,$Q184=Parametres!$G$3),K184,E184)</f>
        <v>-45658.32</v>
      </c>
      <c r="Q184" s="150" t="str">
        <f t="shared" si="12"/>
        <v>3-Passifs</v>
      </c>
      <c r="R184" s="149" t="str">
        <f t="shared" si="13"/>
        <v>328</v>
      </c>
      <c r="S184" s="150" t="str">
        <f t="shared" si="14"/>
        <v>_</v>
      </c>
      <c r="T184" s="152" t="str">
        <f>+VLOOKUP($L184,Data_Validation!$A:$D,1,0)</f>
        <v>328</v>
      </c>
      <c r="U184" s="152" t="str">
        <f>+VLOOKUP($L184,Data_Validation!$A:$D,3,0)</f>
        <v>Bilan</v>
      </c>
      <c r="V184" s="152" t="str">
        <f>+VLOOKUP($L184,Data_Validation!$A:$D,4,0)</f>
        <v>Salaires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1017</v>
      </c>
      <c r="C185" s="710">
        <v>-29890.69</v>
      </c>
      <c r="D185" s="710">
        <v>1279.0999999999999</v>
      </c>
      <c r="E185" s="710">
        <v>-28611.59</v>
      </c>
      <c r="F185" s="708" t="s">
        <v>2226</v>
      </c>
      <c r="G185" s="708" t="s">
        <v>354</v>
      </c>
      <c r="H185" s="709" t="s">
        <v>2997</v>
      </c>
      <c r="I185" s="709"/>
      <c r="J185" s="709"/>
      <c r="K185" s="709"/>
      <c r="L185" s="149" t="str">
        <f t="shared" si="10"/>
        <v>300D</v>
      </c>
      <c r="M185" s="150" t="str">
        <f t="shared" si="11"/>
        <v>PROTECTION BMW A/P</v>
      </c>
      <c r="N185" s="151">
        <f>+IF(OR($Q185=Parametres!$G$2,$Q185=Parametres!$G$3),I185,C185)</f>
        <v>-29890.69</v>
      </c>
      <c r="O185" s="151">
        <f>+IF(OR($Q185=Parametres!$G$2,$Q185=Parametres!$G$3),J185,D185)</f>
        <v>1279.0999999999999</v>
      </c>
      <c r="P185" s="151">
        <f>+IF(OR($Q185=Parametres!$G$2,$Q185=Parametres!$G$3),K185,E185)</f>
        <v>-28611.59</v>
      </c>
      <c r="Q185" s="150" t="str">
        <f t="shared" si="12"/>
        <v>3-Passifs</v>
      </c>
      <c r="R185" s="149" t="str">
        <f t="shared" si="13"/>
        <v>300</v>
      </c>
      <c r="S185" s="150" t="str">
        <f t="shared" si="14"/>
        <v>_</v>
      </c>
      <c r="T185" s="152" t="str">
        <f>+VLOOKUP($L185,Data_Validation!$A:$D,1,0)</f>
        <v>300D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3001</v>
      </c>
      <c r="B186" s="708" t="s">
        <v>459</v>
      </c>
      <c r="C186" s="710">
        <v>-28522.959999999999</v>
      </c>
      <c r="D186" s="710">
        <v>9435.16</v>
      </c>
      <c r="E186" s="710">
        <v>-19087.8</v>
      </c>
      <c r="F186" s="708" t="s">
        <v>2226</v>
      </c>
      <c r="G186" s="708" t="s">
        <v>354</v>
      </c>
      <c r="H186" s="664" t="s">
        <v>2997</v>
      </c>
      <c r="I186" s="663"/>
      <c r="J186" s="663"/>
      <c r="K186" s="663"/>
      <c r="L186" s="149" t="str">
        <f t="shared" si="10"/>
        <v>300I</v>
      </c>
      <c r="M186" s="150" t="str">
        <f t="shared" si="11"/>
        <v>PROTECTION LGM A/P</v>
      </c>
      <c r="N186" s="151">
        <f>+IF(OR($Q186=Parametres!$G$2,$Q186=Parametres!$G$3),I186,C186)</f>
        <v>-28522.959999999999</v>
      </c>
      <c r="O186" s="494">
        <f>+IF(OR($Q186=Parametres!$G$2,$Q186=Parametres!$G$3),J186,D186)</f>
        <v>9435.16</v>
      </c>
      <c r="P186" s="151">
        <f>+IF(OR($Q186=Parametres!$G$2,$Q186=Parametres!$G$3),K186,E186)</f>
        <v>-19087.8</v>
      </c>
      <c r="Q186" s="150" t="str">
        <f t="shared" si="12"/>
        <v>3-Passifs</v>
      </c>
      <c r="R186" s="149" t="str">
        <f t="shared" si="13"/>
        <v>300</v>
      </c>
      <c r="S186" s="150" t="str">
        <f t="shared" si="14"/>
        <v>_</v>
      </c>
      <c r="T186" s="152" t="str">
        <f>+VLOOKUP($L186,Data_Validation!$A:$D,1,0)</f>
        <v>300I</v>
      </c>
      <c r="U186" s="152" t="str">
        <f>+VLOOKUP($L186,Data_Validation!$A:$D,3,0)</f>
        <v>Bilan</v>
      </c>
      <c r="V186" s="152" t="str">
        <f>+VLOOKUP($L186,Data_Validation!$A:$D,4,0)</f>
        <v>Autres Comptes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1855</v>
      </c>
      <c r="B187" s="708" t="s">
        <v>984</v>
      </c>
      <c r="C187" s="710">
        <v>-19622.71</v>
      </c>
      <c r="D187" s="710">
        <v>41699.06</v>
      </c>
      <c r="E187" s="710">
        <v>22076.35</v>
      </c>
      <c r="F187" s="708" t="s">
        <v>2226</v>
      </c>
      <c r="G187" s="708" t="s">
        <v>354</v>
      </c>
      <c r="H187" s="600" t="s">
        <v>2997</v>
      </c>
      <c r="I187" s="153"/>
      <c r="J187" s="153"/>
      <c r="K187" s="153"/>
      <c r="L187" s="149" t="str">
        <f t="shared" si="10"/>
        <v>300A</v>
      </c>
      <c r="M187" s="150" t="str">
        <f t="shared" si="11"/>
        <v>ECHANGE ENTRE CONCESSIONNAIRE</v>
      </c>
      <c r="N187" s="151">
        <f>+IF(OR($Q187=Parametres!$G$2,$Q187=Parametres!$G$3),I187,C187)</f>
        <v>-19622.71</v>
      </c>
      <c r="O187" s="151">
        <f>+IF(OR($Q187=Parametres!$G$2,$Q187=Parametres!$G$3),J187,D187)</f>
        <v>41699.06</v>
      </c>
      <c r="P187" s="151">
        <f>+IF(OR($Q187=Parametres!$G$2,$Q187=Parametres!$G$3),K187,E187)</f>
        <v>22076.35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300A</v>
      </c>
      <c r="U187" s="152" t="str">
        <f>+VLOOKUP($L187,Data_Validation!$A:$D,3,0)</f>
        <v>Bilan</v>
      </c>
      <c r="V187" s="152" t="str">
        <f>+VLOOKUP($L187,Data_Validation!$A:$D,4,0)</f>
        <v>Autres Comptes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2198</v>
      </c>
      <c r="B188" s="708" t="s">
        <v>2199</v>
      </c>
      <c r="C188" s="710">
        <v>-17815.28</v>
      </c>
      <c r="D188" s="710">
        <v>-38617.4</v>
      </c>
      <c r="E188" s="710">
        <v>-56432.68</v>
      </c>
      <c r="F188" s="708" t="s">
        <v>2226</v>
      </c>
      <c r="G188" s="708" t="s">
        <v>354</v>
      </c>
      <c r="H188" s="600" t="s">
        <v>2997</v>
      </c>
      <c r="I188" s="153"/>
      <c r="J188" s="153"/>
      <c r="K188" s="153"/>
      <c r="L188" s="149" t="str">
        <f t="shared" si="10"/>
        <v>300O</v>
      </c>
      <c r="M188" s="150" t="str">
        <f t="shared" si="11"/>
        <v>A/P INTERCO FOURNISSEURS</v>
      </c>
      <c r="N188" s="151">
        <f>+IF(OR($Q188=Parametres!$G$2,$Q188=Parametres!$G$3),I188,C188)</f>
        <v>-17815.28</v>
      </c>
      <c r="O188" s="499">
        <f>+IF(OR($Q188=Parametres!$G$2,$Q188=Parametres!$G$3),J188,D188)</f>
        <v>-38617.4</v>
      </c>
      <c r="P188" s="151">
        <f>+IF(OR($Q188=Parametres!$G$2,$Q188=Parametres!$G$3),K188,E188)</f>
        <v>-56432.68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300O</v>
      </c>
      <c r="U188" s="152" t="str">
        <f>+VLOOKUP($L188,Data_Validation!$A:$D,3,0)</f>
        <v>Bilan</v>
      </c>
      <c r="V188" s="152" t="str">
        <f>+VLOOKUP($L188,Data_Validation!$A:$D,4,0)</f>
        <v>Payables Intercos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1210</v>
      </c>
      <c r="B189" s="708" t="s">
        <v>1211</v>
      </c>
      <c r="C189" s="710">
        <v>-17237.22</v>
      </c>
      <c r="D189" s="710">
        <v>2819.75</v>
      </c>
      <c r="E189" s="710">
        <v>-14417.47</v>
      </c>
      <c r="F189" s="708" t="s">
        <v>2226</v>
      </c>
      <c r="G189" s="708" t="s">
        <v>2250</v>
      </c>
      <c r="H189" s="664" t="s">
        <v>2997</v>
      </c>
      <c r="I189" s="664"/>
      <c r="J189" s="664"/>
      <c r="K189" s="664"/>
      <c r="L189" s="149" t="str">
        <f t="shared" si="10"/>
        <v>323R</v>
      </c>
      <c r="M189" s="150" t="str">
        <f t="shared" si="11"/>
        <v>REER A PAYER</v>
      </c>
      <c r="N189" s="151">
        <f>+IF(OR($Q189=Parametres!$G$2,$Q189=Parametres!$G$3),I189,C189)</f>
        <v>-17237.22</v>
      </c>
      <c r="O189" s="151">
        <f>+IF(OR($Q189=Parametres!$G$2,$Q189=Parametres!$G$3),J189,D189)</f>
        <v>2819.75</v>
      </c>
      <c r="P189" s="151">
        <f>+IF(OR($Q189=Parametres!$G$2,$Q189=Parametres!$G$3),K189,E189)</f>
        <v>-14417.47</v>
      </c>
      <c r="Q189" s="150" t="str">
        <f t="shared" si="12"/>
        <v>3-Passifs</v>
      </c>
      <c r="R189" s="149" t="str">
        <f t="shared" si="13"/>
        <v>323</v>
      </c>
      <c r="S189" s="150" t="str">
        <f t="shared" si="14"/>
        <v>_</v>
      </c>
      <c r="T189" s="152" t="str">
        <f>+VLOOKUP($L189,Data_Validation!$A:$D,1,0)</f>
        <v>323R</v>
      </c>
      <c r="U189" s="152" t="str">
        <f>+VLOOKUP($L189,Data_Validation!$A:$D,3,0)</f>
        <v>Bilan</v>
      </c>
      <c r="V189" s="152" t="str">
        <f>+VLOOKUP($L189,Data_Validation!$A:$D,4,0)</f>
        <v>DAS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1663</v>
      </c>
      <c r="B190" s="708" t="s">
        <v>379</v>
      </c>
      <c r="C190" s="710">
        <v>-15852.71</v>
      </c>
      <c r="D190" s="710">
        <v>-34.979999999999997</v>
      </c>
      <c r="E190" s="710">
        <v>-15887.69</v>
      </c>
      <c r="F190" s="708" t="s">
        <v>2226</v>
      </c>
      <c r="G190" s="708" t="s">
        <v>379</v>
      </c>
      <c r="H190" s="664" t="s">
        <v>2997</v>
      </c>
      <c r="I190" s="663"/>
      <c r="J190" s="663"/>
      <c r="K190" s="663"/>
      <c r="L190" s="149" t="str">
        <f t="shared" si="10"/>
        <v>353</v>
      </c>
      <c r="M190" s="150" t="str">
        <f t="shared" si="11"/>
        <v>AMORT.CUM. EQUIP. PIECES &amp; ACCESS.</v>
      </c>
      <c r="N190" s="151">
        <f>+IF(OR($Q190=Parametres!$G$2,$Q190=Parametres!$G$3),I190,C190)</f>
        <v>-15852.71</v>
      </c>
      <c r="O190" s="151">
        <f>+IF(OR($Q190=Parametres!$G$2,$Q190=Parametres!$G$3),J190,D190)</f>
        <v>-34.979999999999997</v>
      </c>
      <c r="P190" s="151">
        <f>+IF(OR($Q190=Parametres!$G$2,$Q190=Parametres!$G$3),K190,E190)</f>
        <v>-15887.69</v>
      </c>
      <c r="Q190" s="150" t="str">
        <f t="shared" si="12"/>
        <v>3-Passifs</v>
      </c>
      <c r="R190" s="149" t="str">
        <f t="shared" si="13"/>
        <v>353</v>
      </c>
      <c r="S190" s="150" t="str">
        <f t="shared" si="14"/>
        <v>_</v>
      </c>
      <c r="T190" s="152" t="str">
        <f>+VLOOKUP($L190,Data_Validation!$A:$D,1,0)</f>
        <v>353</v>
      </c>
      <c r="U190" s="152" t="str">
        <f>+VLOOKUP($L190,Data_Validation!$A:$D,3,0)</f>
        <v>Bilan</v>
      </c>
      <c r="V190" s="152" t="str">
        <f>+VLOOKUP($L190,Data_Validation!$A:$D,4,0)</f>
        <v>Équipements Service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455</v>
      </c>
      <c r="B191" s="708" t="s">
        <v>456</v>
      </c>
      <c r="C191" s="710">
        <v>-14123.92</v>
      </c>
      <c r="D191" s="710">
        <v>-1632.61</v>
      </c>
      <c r="E191" s="710">
        <v>-15756.53</v>
      </c>
      <c r="F191" s="708" t="s">
        <v>2226</v>
      </c>
      <c r="G191" s="708" t="s">
        <v>456</v>
      </c>
      <c r="H191" s="664" t="s">
        <v>2997</v>
      </c>
      <c r="I191" s="664"/>
      <c r="J191" s="664"/>
      <c r="K191" s="664"/>
      <c r="L191" s="149" t="str">
        <f t="shared" si="10"/>
        <v>321C</v>
      </c>
      <c r="M191" s="150" t="str">
        <f t="shared" si="11"/>
        <v>CONGES FERIES A PAYER</v>
      </c>
      <c r="N191" s="151">
        <f>+IF(OR($Q191=Parametres!$G$2,$Q191=Parametres!$G$3),I191,C191)</f>
        <v>-14123.92</v>
      </c>
      <c r="O191" s="497">
        <f>+IF(OR($Q191=Parametres!$G$2,$Q191=Parametres!$G$3),J191,D191)</f>
        <v>-1632.61</v>
      </c>
      <c r="P191" s="151">
        <f>+IF(OR($Q191=Parametres!$G$2,$Q191=Parametres!$G$3),K191,E191)</f>
        <v>-15756.53</v>
      </c>
      <c r="Q191" s="150" t="str">
        <f t="shared" si="12"/>
        <v>3-Passifs</v>
      </c>
      <c r="R191" s="149" t="str">
        <f t="shared" si="13"/>
        <v>321C</v>
      </c>
      <c r="S191" s="150" t="str">
        <f t="shared" si="14"/>
        <v>_</v>
      </c>
      <c r="T191" s="152" t="str">
        <f>+VLOOKUP($L191,Data_Validation!$A:$D,1,0)</f>
        <v>321C</v>
      </c>
      <c r="U191" s="152" t="str">
        <f>+VLOOKUP($L191,Data_Validation!$A:$D,3,0)</f>
        <v>Bilan</v>
      </c>
      <c r="V191" s="152" t="str">
        <f>+VLOOKUP($L191,Data_Validation!$A:$D,4,0)</f>
        <v>Salaires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1922</v>
      </c>
      <c r="B192" s="708" t="s">
        <v>1923</v>
      </c>
      <c r="C192" s="710">
        <v>-12072.25</v>
      </c>
      <c r="D192" s="710">
        <v>-1753.5</v>
      </c>
      <c r="E192" s="710">
        <v>-13825.75</v>
      </c>
      <c r="F192" s="708" t="s">
        <v>2226</v>
      </c>
      <c r="G192" s="708" t="s">
        <v>1063</v>
      </c>
      <c r="H192" s="600" t="s">
        <v>2997</v>
      </c>
      <c r="I192" s="602"/>
      <c r="J192" s="602"/>
      <c r="K192" s="602"/>
      <c r="L192" s="149" t="str">
        <f t="shared" si="10"/>
        <v>331E</v>
      </c>
      <c r="M192" s="150" t="str">
        <f t="shared" si="11"/>
        <v>RESERVE COURTOISIES</v>
      </c>
      <c r="N192" s="151">
        <f>+IF(OR($Q192=Parametres!$G$2,$Q192=Parametres!$G$3),I192,C192)</f>
        <v>-12072.25</v>
      </c>
      <c r="O192" s="151">
        <f>+IF(OR($Q192=Parametres!$G$2,$Q192=Parametres!$G$3),J192,D192)</f>
        <v>-1753.5</v>
      </c>
      <c r="P192" s="151">
        <f>+IF(OR($Q192=Parametres!$G$2,$Q192=Parametres!$G$3),K192,E192)</f>
        <v>-13825.75</v>
      </c>
      <c r="Q192" s="150" t="str">
        <f t="shared" si="12"/>
        <v>3-Passifs</v>
      </c>
      <c r="R192" s="149" t="str">
        <f t="shared" si="13"/>
        <v>331C</v>
      </c>
      <c r="S192" s="150" t="str">
        <f t="shared" si="14"/>
        <v>_</v>
      </c>
      <c r="T192" s="152" t="str">
        <f>+VLOOKUP($L192,Data_Validation!$A:$D,1,0)</f>
        <v>331E</v>
      </c>
      <c r="U192" s="152" t="str">
        <f>+VLOOKUP($L192,Data_Validation!$A:$D,3,0)</f>
        <v>Bilan</v>
      </c>
      <c r="V192" s="152" t="str">
        <f>+VLOOKUP($L192,Data_Validation!$A:$D,4,0)</f>
        <v>Inventaire Véhicules Neufs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1920</v>
      </c>
      <c r="B193" s="708" t="s">
        <v>1921</v>
      </c>
      <c r="C193" s="710">
        <v>-7273.5</v>
      </c>
      <c r="D193" s="710">
        <v>1877</v>
      </c>
      <c r="E193" s="710">
        <v>-5396.5</v>
      </c>
      <c r="F193" s="708" t="s">
        <v>2226</v>
      </c>
      <c r="G193" s="708" t="s">
        <v>1063</v>
      </c>
      <c r="H193" s="600" t="s">
        <v>2997</v>
      </c>
      <c r="I193" s="601"/>
      <c r="J193" s="601"/>
      <c r="K193" s="601"/>
      <c r="L193" s="149" t="str">
        <f t="shared" si="10"/>
        <v>331D</v>
      </c>
      <c r="M193" s="150" t="str">
        <f t="shared" si="11"/>
        <v>RESERVE DEMONSTRATEURS</v>
      </c>
      <c r="N193" s="151">
        <f>+IF(OR($Q193=Parametres!$G$2,$Q193=Parametres!$G$3),I193,C193)</f>
        <v>-7273.5</v>
      </c>
      <c r="O193" s="151">
        <f>+IF(OR($Q193=Parametres!$G$2,$Q193=Parametres!$G$3),J193,D193)</f>
        <v>1877</v>
      </c>
      <c r="P193" s="151">
        <f>+IF(OR($Q193=Parametres!$G$2,$Q193=Parametres!$G$3),K193,E193)</f>
        <v>-5396.5</v>
      </c>
      <c r="Q193" s="150" t="str">
        <f t="shared" si="12"/>
        <v>3-Passifs</v>
      </c>
      <c r="R193" s="149" t="str">
        <f t="shared" si="13"/>
        <v>331C</v>
      </c>
      <c r="S193" s="150" t="str">
        <f t="shared" si="14"/>
        <v>_</v>
      </c>
      <c r="T193" s="152" t="str">
        <f>+VLOOKUP($L193,Data_Validation!$A:$D,1,0)</f>
        <v>331D</v>
      </c>
      <c r="U193" s="152" t="str">
        <f>+VLOOKUP($L193,Data_Validation!$A:$D,3,0)</f>
        <v>Bilan</v>
      </c>
      <c r="V193" s="152" t="str">
        <f>+VLOOKUP($L193,Data_Validation!$A:$D,4,0)</f>
        <v>Inventaire Véhicules Neufs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-3782.82</v>
      </c>
      <c r="D194" s="710">
        <v>-142.52000000000001</v>
      </c>
      <c r="E194" s="710">
        <v>-3925.34</v>
      </c>
      <c r="F194" s="708" t="s">
        <v>2226</v>
      </c>
      <c r="G194" s="708" t="s">
        <v>424</v>
      </c>
      <c r="H194" s="664" t="s">
        <v>2997</v>
      </c>
      <c r="I194" s="663"/>
      <c r="J194" s="663"/>
      <c r="K194" s="663"/>
      <c r="L194" s="149" t="str">
        <f t="shared" ref="L194:L257" si="15">+B194</f>
        <v>321</v>
      </c>
      <c r="M194" s="150" t="str">
        <f t="shared" ref="M194:M257" si="16">+A194</f>
        <v>SALAIRES A PAYER</v>
      </c>
      <c r="N194" s="151">
        <f>+IF(OR($Q194=Parametres!$G$2,$Q194=Parametres!$G$3),I194,C194)</f>
        <v>-3782.82</v>
      </c>
      <c r="O194" s="151">
        <f>+IF(OR($Q194=Parametres!$G$2,$Q194=Parametres!$G$3),J194,D194)</f>
        <v>-142.52000000000001</v>
      </c>
      <c r="P194" s="151">
        <f>+IF(OR($Q194=Parametres!$G$2,$Q194=Parametres!$G$3),K194,E194)</f>
        <v>-3925.34</v>
      </c>
      <c r="Q194" s="150" t="str">
        <f t="shared" ref="Q194:Q257" si="17">+F194</f>
        <v>3-Passifs</v>
      </c>
      <c r="R194" s="149" t="str">
        <f t="shared" ref="R194:R257" si="18">+G194</f>
        <v>321</v>
      </c>
      <c r="S194" s="150" t="str">
        <f t="shared" ref="S194:S257" si="19">+H194</f>
        <v>_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1111</v>
      </c>
      <c r="B195" s="708" t="s">
        <v>1112</v>
      </c>
      <c r="C195" s="710">
        <v>-2500</v>
      </c>
      <c r="D195" s="710">
        <v>-660</v>
      </c>
      <c r="E195" s="710">
        <v>-3160</v>
      </c>
      <c r="F195" s="708" t="s">
        <v>2226</v>
      </c>
      <c r="G195" s="708" t="s">
        <v>1112</v>
      </c>
      <c r="H195" s="664" t="s">
        <v>2997</v>
      </c>
      <c r="I195" s="663"/>
      <c r="J195" s="663"/>
      <c r="K195" s="663"/>
      <c r="L195" s="149" t="str">
        <f t="shared" si="15"/>
        <v>331V</v>
      </c>
      <c r="M195" s="150" t="str">
        <f t="shared" si="16"/>
        <v>PROVISION SERVICE VALET</v>
      </c>
      <c r="N195" s="151">
        <f>+IF(OR($Q195=Parametres!$G$2,$Q195=Parametres!$G$3),I195,C195)</f>
        <v>-2500</v>
      </c>
      <c r="O195" s="151">
        <f>+IF(OR($Q195=Parametres!$G$2,$Q195=Parametres!$G$3),J195,D195)</f>
        <v>-660</v>
      </c>
      <c r="P195" s="151">
        <f>+IF(OR($Q195=Parametres!$G$2,$Q195=Parametres!$G$3),K195,E195)</f>
        <v>-3160</v>
      </c>
      <c r="Q195" s="150" t="str">
        <f t="shared" si="17"/>
        <v>3-Passifs</v>
      </c>
      <c r="R195" s="149" t="str">
        <f t="shared" si="18"/>
        <v>331V</v>
      </c>
      <c r="S195" s="150" t="str">
        <f t="shared" si="19"/>
        <v>_</v>
      </c>
      <c r="T195" s="152" t="str">
        <f>+VLOOKUP($L195,Data_Validation!$A:$D,1,0)</f>
        <v>331V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2232</v>
      </c>
      <c r="B196" s="708" t="s">
        <v>2231</v>
      </c>
      <c r="C196" s="710">
        <v>-2331</v>
      </c>
      <c r="D196" s="710">
        <v>2331</v>
      </c>
      <c r="E196" s="710">
        <v>0</v>
      </c>
      <c r="F196" s="708" t="s">
        <v>2226</v>
      </c>
      <c r="G196" s="708" t="s">
        <v>354</v>
      </c>
      <c r="H196" s="664" t="s">
        <v>2997</v>
      </c>
      <c r="I196" s="663"/>
      <c r="J196" s="663"/>
      <c r="K196" s="663"/>
      <c r="L196" s="149" t="str">
        <f t="shared" si="15"/>
        <v>300L</v>
      </c>
      <c r="M196" s="150" t="str">
        <f t="shared" si="16"/>
        <v>A/P INTERCO WHOLESALE &amp; ECHANGE</v>
      </c>
      <c r="N196" s="151">
        <f>+IF(OR($Q196=Parametres!$G$2,$Q196=Parametres!$G$3),I196,C196)</f>
        <v>-2331</v>
      </c>
      <c r="O196" s="151">
        <f>+IF(OR($Q196=Parametres!$G$2,$Q196=Parametres!$G$3),J196,D196)</f>
        <v>2331</v>
      </c>
      <c r="P196" s="151">
        <f>+IF(OR($Q196=Parametres!$G$2,$Q196=Parametres!$G$3),K196,E196)</f>
        <v>0</v>
      </c>
      <c r="Q196" s="150" t="str">
        <f t="shared" si="17"/>
        <v>3-Passifs</v>
      </c>
      <c r="R196" s="149" t="str">
        <f t="shared" si="18"/>
        <v>300</v>
      </c>
      <c r="S196" s="150" t="str">
        <f t="shared" si="19"/>
        <v>_</v>
      </c>
      <c r="T196" s="152" t="str">
        <f>+VLOOKUP($L196,Data_Validation!$A:$D,1,0)</f>
        <v>300L</v>
      </c>
      <c r="U196" s="152" t="str">
        <f>+VLOOKUP($L196,Data_Validation!$A:$D,3,0)</f>
        <v>Bilan</v>
      </c>
      <c r="V196" s="152" t="str">
        <f>+VLOOKUP($L196,Data_Validation!$A:$D,4,0)</f>
        <v>Payables Intercos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1835</v>
      </c>
      <c r="B197" s="708" t="s">
        <v>957</v>
      </c>
      <c r="C197" s="710">
        <v>-2325.09</v>
      </c>
      <c r="D197" s="710">
        <v>35502.870000000003</v>
      </c>
      <c r="E197" s="710">
        <v>33177.78</v>
      </c>
      <c r="F197" s="708" t="s">
        <v>2226</v>
      </c>
      <c r="G197" s="708" t="s">
        <v>354</v>
      </c>
      <c r="H197" s="664" t="s">
        <v>2997</v>
      </c>
      <c r="I197" s="663"/>
      <c r="J197" s="663"/>
      <c r="K197" s="663"/>
      <c r="L197" s="149" t="str">
        <f t="shared" si="15"/>
        <v>300B</v>
      </c>
      <c r="M197" s="150" t="str">
        <f t="shared" si="16"/>
        <v>ETAT DE COMPTE BMW CANADA</v>
      </c>
      <c r="N197" s="151">
        <f>+IF(OR($Q197=Parametres!$G$2,$Q197=Parametres!$G$3),I197,C197)</f>
        <v>-2325.09</v>
      </c>
      <c r="O197" s="151">
        <f>+IF(OR($Q197=Parametres!$G$2,$Q197=Parametres!$G$3),J197,D197)</f>
        <v>35502.870000000003</v>
      </c>
      <c r="P197" s="151">
        <f>+IF(OR($Q197=Parametres!$G$2,$Q197=Parametres!$G$3),K197,E197)</f>
        <v>33177.78</v>
      </c>
      <c r="Q197" s="150" t="str">
        <f t="shared" si="17"/>
        <v>3-Passifs</v>
      </c>
      <c r="R197" s="149" t="str">
        <f t="shared" si="18"/>
        <v>300</v>
      </c>
      <c r="S197" s="150" t="str">
        <f t="shared" si="19"/>
        <v>_</v>
      </c>
      <c r="T197" s="152" t="str">
        <f>+VLOOKUP($L197,Data_Validation!$A:$D,1,0)</f>
        <v>300B</v>
      </c>
      <c r="U197" s="152" t="str">
        <f>+VLOOKUP($L197,Data_Validation!$A:$D,3,0)</f>
        <v>Bilan</v>
      </c>
      <c r="V197" s="152" t="str">
        <f>+VLOOKUP($L197,Data_Validation!$A:$D,4,0)</f>
        <v>Autres Comptes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1617</v>
      </c>
      <c r="B198" s="708" t="s">
        <v>367</v>
      </c>
      <c r="C198" s="710">
        <v>-2144.98</v>
      </c>
      <c r="D198" s="710">
        <v>0</v>
      </c>
      <c r="E198" s="710">
        <v>-2144.98</v>
      </c>
      <c r="F198" s="708" t="s">
        <v>2226</v>
      </c>
      <c r="G198" s="708" t="s">
        <v>367</v>
      </c>
      <c r="H198" s="664" t="s">
        <v>2997</v>
      </c>
      <c r="I198" s="663"/>
      <c r="J198" s="663"/>
      <c r="K198" s="663"/>
      <c r="L198" s="149" t="str">
        <f t="shared" si="15"/>
        <v>355</v>
      </c>
      <c r="M198" s="150" t="str">
        <f t="shared" si="16"/>
        <v>AMORT.CUM. VEHICULES DE COMPAGNIE</v>
      </c>
      <c r="N198" s="151">
        <f>+IF(OR($Q198=Parametres!$G$2,$Q198=Parametres!$G$3),I198,C198)</f>
        <v>-2144.98</v>
      </c>
      <c r="O198" s="151">
        <f>+IF(OR($Q198=Parametres!$G$2,$Q198=Parametres!$G$3),J198,D198)</f>
        <v>0</v>
      </c>
      <c r="P198" s="151">
        <f>+IF(OR($Q198=Parametres!$G$2,$Q198=Parametres!$G$3),K198,E198)</f>
        <v>-2144.98</v>
      </c>
      <c r="Q198" s="150" t="str">
        <f t="shared" si="17"/>
        <v>3-Passifs</v>
      </c>
      <c r="R198" s="149" t="str">
        <f t="shared" si="18"/>
        <v>355</v>
      </c>
      <c r="S198" s="150" t="str">
        <f t="shared" si="19"/>
        <v>_</v>
      </c>
      <c r="T198" s="152" t="str">
        <f>+VLOOKUP($L198,Data_Validation!$A:$D,1,0)</f>
        <v>355</v>
      </c>
      <c r="U198" s="152" t="str">
        <f>+VLOOKUP($L198,Data_Validation!$A:$D,3,0)</f>
        <v>Bilan</v>
      </c>
      <c r="V198" s="152" t="str">
        <f>+VLOOKUP($L198,Data_Validation!$A:$D,4,0)</f>
        <v>Équipements Service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360</v>
      </c>
      <c r="B199" s="708" t="s">
        <v>919</v>
      </c>
      <c r="C199" s="710">
        <v>-1429.47</v>
      </c>
      <c r="D199" s="710">
        <v>-728.92</v>
      </c>
      <c r="E199" s="710">
        <v>-2158.39</v>
      </c>
      <c r="F199" s="708" t="s">
        <v>2226</v>
      </c>
      <c r="G199" s="708" t="s">
        <v>443</v>
      </c>
      <c r="H199" s="657" t="s">
        <v>2997</v>
      </c>
      <c r="I199" s="656"/>
      <c r="J199" s="656"/>
      <c r="K199" s="656"/>
      <c r="L199" s="149" t="str">
        <f t="shared" si="15"/>
        <v>321B</v>
      </c>
      <c r="M199" s="150" t="str">
        <f t="shared" si="16"/>
        <v>COMMISSIONS A PAYER</v>
      </c>
      <c r="N199" s="151">
        <f>+IF(OR($Q199=Parametres!$G$2,$Q199=Parametres!$G$3),I199,C199)</f>
        <v>-1429.47</v>
      </c>
      <c r="O199" s="151">
        <f>+IF(OR($Q199=Parametres!$G$2,$Q199=Parametres!$G$3),J199,D199)</f>
        <v>-728.92</v>
      </c>
      <c r="P199" s="151">
        <f>+IF(OR($Q199=Parametres!$G$2,$Q199=Parametres!$G$3),K199,E199)</f>
        <v>-2158.39</v>
      </c>
      <c r="Q199" s="150" t="str">
        <f t="shared" si="17"/>
        <v>3-Passifs</v>
      </c>
      <c r="R199" s="149" t="str">
        <f t="shared" si="18"/>
        <v>321A</v>
      </c>
      <c r="S199" s="150" t="str">
        <f t="shared" si="19"/>
        <v>_</v>
      </c>
      <c r="T199" s="152" t="str">
        <f>+VLOOKUP($L199,Data_Validation!$A:$D,1,0)</f>
        <v>321B</v>
      </c>
      <c r="U199" s="152" t="str">
        <f>+VLOOKUP($L199,Data_Validation!$A:$D,3,0)</f>
        <v>Bilan</v>
      </c>
      <c r="V199" s="152" t="str">
        <f>+VLOOKUP($L199,Data_Validation!$A:$D,4,0)</f>
        <v>Salaires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1633</v>
      </c>
      <c r="B200" s="708" t="s">
        <v>1634</v>
      </c>
      <c r="C200" s="710">
        <v>-751.5</v>
      </c>
      <c r="D200" s="710">
        <v>-139.5</v>
      </c>
      <c r="E200" s="710">
        <v>-891</v>
      </c>
      <c r="F200" s="708" t="s">
        <v>2226</v>
      </c>
      <c r="G200" s="708" t="s">
        <v>403</v>
      </c>
      <c r="H200" s="664" t="s">
        <v>2997</v>
      </c>
      <c r="I200" s="663"/>
      <c r="J200" s="663"/>
      <c r="K200" s="663"/>
      <c r="L200" s="149" t="str">
        <f t="shared" si="15"/>
        <v>326</v>
      </c>
      <c r="M200" s="150" t="str">
        <f t="shared" si="16"/>
        <v>TAXES DE PNEUS</v>
      </c>
      <c r="N200" s="151">
        <f>+IF(OR($Q200=Parametres!$G$2,$Q200=Parametres!$G$3),I200,C200)</f>
        <v>-751.5</v>
      </c>
      <c r="O200" s="151">
        <f>+IF(OR($Q200=Parametres!$G$2,$Q200=Parametres!$G$3),J200,D200)</f>
        <v>-139.5</v>
      </c>
      <c r="P200" s="151">
        <f>+IF(OR($Q200=Parametres!$G$2,$Q200=Parametres!$G$3),K200,E200)</f>
        <v>-891</v>
      </c>
      <c r="Q200" s="150" t="str">
        <f t="shared" si="17"/>
        <v>3-Passifs</v>
      </c>
      <c r="R200" s="149" t="str">
        <f t="shared" si="18"/>
        <v>324</v>
      </c>
      <c r="S200" s="150" t="str">
        <f t="shared" si="19"/>
        <v>_</v>
      </c>
      <c r="T200" s="152" t="str">
        <f>+VLOOKUP($L200,Data_Validation!$A:$D,1,0)</f>
        <v>326</v>
      </c>
      <c r="U200" s="152" t="str">
        <f>+VLOOKUP($L200,Data_Validation!$A:$D,3,0)</f>
        <v>Bilan</v>
      </c>
      <c r="V200" s="152" t="str">
        <f>+VLOOKUP($L200,Data_Validation!$A:$D,4,0)</f>
        <v>Taxes de Vente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-673.26</v>
      </c>
      <c r="D201" s="710">
        <v>-49.28</v>
      </c>
      <c r="E201" s="710">
        <v>-722.54</v>
      </c>
      <c r="F201" s="708" t="s">
        <v>2226</v>
      </c>
      <c r="G201" s="708" t="s">
        <v>2250</v>
      </c>
      <c r="H201" s="664" t="s">
        <v>2997</v>
      </c>
      <c r="I201" s="663"/>
      <c r="J201" s="663"/>
      <c r="K201" s="663"/>
      <c r="L201" s="149" t="str">
        <f t="shared" si="15"/>
        <v>323I</v>
      </c>
      <c r="M201" s="150" t="str">
        <f t="shared" si="16"/>
        <v>COMITE PARITAIRE A PAYER</v>
      </c>
      <c r="N201" s="151">
        <f>+IF(OR($Q201=Parametres!$G$2,$Q201=Parametres!$G$3),I201,C201)</f>
        <v>-673.26</v>
      </c>
      <c r="O201" s="151">
        <f>+IF(OR($Q201=Parametres!$G$2,$Q201=Parametres!$G$3),J201,D201)</f>
        <v>-49.28</v>
      </c>
      <c r="P201" s="151">
        <f>+IF(OR($Q201=Parametres!$G$2,$Q201=Parametres!$G$3),K201,E201)</f>
        <v>-722.54</v>
      </c>
      <c r="Q201" s="150" t="str">
        <f t="shared" si="17"/>
        <v>3-Passifs</v>
      </c>
      <c r="R201" s="149" t="str">
        <f t="shared" si="18"/>
        <v>323</v>
      </c>
      <c r="S201" s="150" t="str">
        <f t="shared" si="19"/>
        <v>_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1216</v>
      </c>
      <c r="B202" s="708" t="s">
        <v>1217</v>
      </c>
      <c r="C202" s="710">
        <v>-654.11</v>
      </c>
      <c r="D202" s="710">
        <v>-531</v>
      </c>
      <c r="E202" s="710">
        <v>-1185.1099999999999</v>
      </c>
      <c r="F202" s="708" t="s">
        <v>2226</v>
      </c>
      <c r="G202" s="708" t="s">
        <v>2250</v>
      </c>
      <c r="H202" s="657" t="s">
        <v>2997</v>
      </c>
      <c r="I202" s="656"/>
      <c r="J202" s="656"/>
      <c r="K202" s="656"/>
      <c r="L202" s="149" t="str">
        <f t="shared" si="15"/>
        <v>323K</v>
      </c>
      <c r="M202" s="150" t="str">
        <f t="shared" si="16"/>
        <v>CENTRADE</v>
      </c>
      <c r="N202" s="151">
        <f>+IF(OR($Q202=Parametres!$G$2,$Q202=Parametres!$G$3),I202,C202)</f>
        <v>-654.11</v>
      </c>
      <c r="O202" s="151">
        <f>+IF(OR($Q202=Parametres!$G$2,$Q202=Parametres!$G$3),J202,D202)</f>
        <v>-531</v>
      </c>
      <c r="P202" s="151">
        <f>+IF(OR($Q202=Parametres!$G$2,$Q202=Parametres!$G$3),K202,E202)</f>
        <v>-1185.1099999999999</v>
      </c>
      <c r="Q202" s="150" t="str">
        <f t="shared" si="17"/>
        <v>3-Passifs</v>
      </c>
      <c r="R202" s="149" t="str">
        <f t="shared" si="18"/>
        <v>323</v>
      </c>
      <c r="S202" s="150" t="str">
        <f t="shared" si="19"/>
        <v>_</v>
      </c>
      <c r="T202" s="152" t="str">
        <f>+VLOOKUP($L202,Data_Validation!$A:$D,1,0)</f>
        <v>323K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2141</v>
      </c>
      <c r="B203" s="708" t="s">
        <v>2142</v>
      </c>
      <c r="C203" s="710">
        <v>-124.64</v>
      </c>
      <c r="D203" s="710">
        <v>124.64</v>
      </c>
      <c r="E203" s="710">
        <v>0</v>
      </c>
      <c r="F203" s="708" t="s">
        <v>2226</v>
      </c>
      <c r="G203" s="708" t="s">
        <v>424</v>
      </c>
      <c r="H203" s="657" t="s">
        <v>2997</v>
      </c>
      <c r="I203" s="656"/>
      <c r="J203" s="656"/>
      <c r="K203" s="656"/>
      <c r="L203" s="149" t="str">
        <f t="shared" si="15"/>
        <v>321D</v>
      </c>
      <c r="M203" s="150" t="str">
        <f t="shared" si="16"/>
        <v>COMPTE DE DEPENSE A PAYER</v>
      </c>
      <c r="N203" s="151">
        <f>+IF(OR($Q203=Parametres!$G$2,$Q203=Parametres!$G$3),I203,C203)</f>
        <v>-124.64</v>
      </c>
      <c r="O203" s="151">
        <f>+IF(OR($Q203=Parametres!$G$2,$Q203=Parametres!$G$3),J203,D203)</f>
        <v>124.64</v>
      </c>
      <c r="P203" s="151">
        <f>+IF(OR($Q203=Parametres!$G$2,$Q203=Parametres!$G$3),K203,E203)</f>
        <v>0</v>
      </c>
      <c r="Q203" s="150" t="str">
        <f t="shared" si="17"/>
        <v>3-Passifs</v>
      </c>
      <c r="R203" s="149" t="str">
        <f t="shared" si="18"/>
        <v>321</v>
      </c>
      <c r="S203" s="150" t="str">
        <f t="shared" si="19"/>
        <v>_</v>
      </c>
      <c r="T203" s="152" t="str">
        <f>+VLOOKUP($L203,Data_Validation!$A:$D,1,0)</f>
        <v>321D</v>
      </c>
      <c r="U203" s="152" t="str">
        <f>+VLOOKUP($L203,Data_Validation!$A:$D,3,0)</f>
        <v>bilan</v>
      </c>
      <c r="V203" s="152" t="str">
        <f>+VLOOKUP($L203,Data_Validation!$A:$D,4,0)</f>
        <v>Salaires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2414</v>
      </c>
      <c r="B204" s="708" t="s">
        <v>2415</v>
      </c>
      <c r="C204" s="710">
        <v>4395.6000000000004</v>
      </c>
      <c r="D204" s="710">
        <v>0</v>
      </c>
      <c r="E204" s="710">
        <v>4395.6000000000004</v>
      </c>
      <c r="F204" s="708" t="s">
        <v>2226</v>
      </c>
      <c r="G204" s="708" t="s">
        <v>403</v>
      </c>
      <c r="H204" s="664" t="s">
        <v>2997</v>
      </c>
      <c r="I204" s="663"/>
      <c r="J204" s="663"/>
      <c r="K204" s="663"/>
      <c r="L204" s="149" t="str">
        <f t="shared" si="15"/>
        <v>324E</v>
      </c>
      <c r="M204" s="150" t="str">
        <f t="shared" si="16"/>
        <v>TAXE DE LUXE</v>
      </c>
      <c r="N204" s="151">
        <f>+IF(OR($Q204=Parametres!$G$2,$Q204=Parametres!$G$3),I204,C204)</f>
        <v>4395.6000000000004</v>
      </c>
      <c r="O204" s="151">
        <f>+IF(OR($Q204=Parametres!$G$2,$Q204=Parametres!$G$3),J204,D204)</f>
        <v>0</v>
      </c>
      <c r="P204" s="151">
        <f>+IF(OR($Q204=Parametres!$G$2,$Q204=Parametres!$G$3),K204,E204)</f>
        <v>4395.6000000000004</v>
      </c>
      <c r="Q204" s="150" t="str">
        <f t="shared" si="17"/>
        <v>3-Passifs</v>
      </c>
      <c r="R204" s="149" t="str">
        <f t="shared" si="18"/>
        <v>324</v>
      </c>
      <c r="S204" s="150" t="str">
        <f t="shared" si="19"/>
        <v>_</v>
      </c>
      <c r="T204" s="152" t="str">
        <f>+VLOOKUP($L204,Data_Validation!$A:$D,1,0)</f>
        <v>324E</v>
      </c>
      <c r="U204" s="152" t="str">
        <f>+VLOOKUP($L204,Data_Validation!$A:$D,3,0)</f>
        <v>Bilan</v>
      </c>
      <c r="V204" s="152" t="str">
        <f>+VLOOKUP($L204,Data_Validation!$A:$D,4,0)</f>
        <v>Taxes de Vente à Payer</v>
      </c>
      <c r="W204" s="152">
        <f>+VLOOKUP($L204,Data_Validation!$A:$E,5,0)</f>
        <v>0</v>
      </c>
      <c r="X204" s="152">
        <f>+VLOOKUP($L204,Data_Validation!$A:$F,6,0)</f>
        <v>0</v>
      </c>
    </row>
    <row r="205" spans="1:24" ht="15" customHeight="1">
      <c r="A205" s="708" t="s">
        <v>1700</v>
      </c>
      <c r="B205" s="708" t="s">
        <v>1701</v>
      </c>
      <c r="C205" s="710">
        <v>52775.57</v>
      </c>
      <c r="D205" s="710">
        <v>-20281.810000000001</v>
      </c>
      <c r="E205" s="710">
        <v>32493.759999999998</v>
      </c>
      <c r="F205" s="708" t="s">
        <v>2226</v>
      </c>
      <c r="G205" s="708" t="s">
        <v>403</v>
      </c>
      <c r="H205" s="664" t="s">
        <v>2997</v>
      </c>
      <c r="I205" s="663"/>
      <c r="J205" s="663"/>
      <c r="K205" s="663"/>
      <c r="L205" s="149" t="str">
        <f t="shared" si="15"/>
        <v>325B</v>
      </c>
      <c r="M205" s="150" t="str">
        <f t="shared" si="16"/>
        <v>TVQ A RECEVOIR</v>
      </c>
      <c r="N205" s="151">
        <f>+IF(OR($Q205=Parametres!$G$2,$Q205=Parametres!$G$3),I205,C205)</f>
        <v>52775.57</v>
      </c>
      <c r="O205" s="151">
        <f>+IF(OR($Q205=Parametres!$G$2,$Q205=Parametres!$G$3),J205,D205)</f>
        <v>-20281.810000000001</v>
      </c>
      <c r="P205" s="151">
        <f>+IF(OR($Q205=Parametres!$G$2,$Q205=Parametres!$G$3),K205,E205)</f>
        <v>32493.759999999998</v>
      </c>
      <c r="Q205" s="150" t="str">
        <f t="shared" si="17"/>
        <v>3-Passifs</v>
      </c>
      <c r="R205" s="149" t="str">
        <f t="shared" si="18"/>
        <v>324</v>
      </c>
      <c r="S205" s="150" t="str">
        <f t="shared" si="19"/>
        <v>_</v>
      </c>
      <c r="T205" s="152" t="str">
        <f>+VLOOKUP($L205,Data_Validation!$A:$D,1,0)</f>
        <v>325B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260644.28</v>
      </c>
      <c r="D206" s="710">
        <v>-166305.18</v>
      </c>
      <c r="E206" s="710">
        <v>94339.1</v>
      </c>
      <c r="F206" s="708" t="s">
        <v>2226</v>
      </c>
      <c r="G206" s="708" t="s">
        <v>403</v>
      </c>
      <c r="H206" s="664" t="s">
        <v>2997</v>
      </c>
      <c r="I206" s="664"/>
      <c r="J206" s="664"/>
      <c r="K206" s="664"/>
      <c r="L206" s="149" t="str">
        <f t="shared" si="15"/>
        <v>324A</v>
      </c>
      <c r="M206" s="150" t="str">
        <f t="shared" si="16"/>
        <v>TPS A RECEVOIR</v>
      </c>
      <c r="N206" s="151">
        <f>+IF(OR($Q206=Parametres!$G$2,$Q206=Parametres!$G$3),I206,C206)</f>
        <v>260644.28</v>
      </c>
      <c r="O206" s="151">
        <f>+IF(OR($Q206=Parametres!$G$2,$Q206=Parametres!$G$3),J206,D206)</f>
        <v>-166305.18</v>
      </c>
      <c r="P206" s="151">
        <f>+IF(OR($Q206=Parametres!$G$2,$Q206=Parametres!$G$3),K206,E206)</f>
        <v>94339.1</v>
      </c>
      <c r="Q206" s="150" t="str">
        <f t="shared" si="17"/>
        <v>3-Passifs</v>
      </c>
      <c r="R206" s="149" t="str">
        <f t="shared" si="18"/>
        <v>324</v>
      </c>
      <c r="S206" s="150" t="str">
        <f t="shared" si="19"/>
        <v>_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601</v>
      </c>
      <c r="B207" s="708" t="s">
        <v>356</v>
      </c>
      <c r="C207" s="710">
        <v>-4390685.5999999996</v>
      </c>
      <c r="D207" s="710">
        <v>0</v>
      </c>
      <c r="E207" s="710">
        <v>-4390685.5999999996</v>
      </c>
      <c r="F207" s="708" t="s">
        <v>2227</v>
      </c>
      <c r="G207" s="708" t="s">
        <v>356</v>
      </c>
      <c r="H207" s="664" t="s">
        <v>2997</v>
      </c>
      <c r="I207" s="663"/>
      <c r="J207" s="663"/>
      <c r="K207" s="663"/>
      <c r="L207" s="149" t="str">
        <f t="shared" si="15"/>
        <v>360</v>
      </c>
      <c r="M207" s="150" t="str">
        <f t="shared" si="16"/>
        <v>ACTIONS ORDINAIRES</v>
      </c>
      <c r="N207" s="151">
        <f>+IF(OR($Q207=Parametres!$G$2,$Q207=Parametres!$G$3),I207,C207)</f>
        <v>-4390685.5999999996</v>
      </c>
      <c r="O207" s="151">
        <f>+IF(OR($Q207=Parametres!$G$2,$Q207=Parametres!$G$3),J207,D207)</f>
        <v>0</v>
      </c>
      <c r="P207" s="151">
        <f>+IF(OR($Q207=Parametres!$G$2,$Q207=Parametres!$G$3),K207,E207)</f>
        <v>-4390685.5999999996</v>
      </c>
      <c r="Q207" s="150" t="str">
        <f t="shared" si="17"/>
        <v>4-Valeur nette</v>
      </c>
      <c r="R207" s="149" t="str">
        <f t="shared" si="18"/>
        <v>360</v>
      </c>
      <c r="S207" s="150" t="str">
        <f t="shared" si="19"/>
        <v>_</v>
      </c>
      <c r="T207" s="152" t="str">
        <f>+VLOOKUP($L207,Data_Validation!$A:$D,1,0)</f>
        <v>360</v>
      </c>
      <c r="U207" s="152" t="str">
        <f>+VLOOKUP($L207,Data_Validation!$A:$D,3,0)</f>
        <v>Bilan</v>
      </c>
      <c r="V207" s="152" t="str">
        <f>+VLOOKUP($L207,Data_Validation!$A:$D,4,0)</f>
        <v>Capital Actions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602</v>
      </c>
      <c r="B208" s="708" t="s">
        <v>357</v>
      </c>
      <c r="C208" s="710">
        <v>-3860699.74</v>
      </c>
      <c r="D208" s="710">
        <v>0</v>
      </c>
      <c r="E208" s="710">
        <v>-3860699.74</v>
      </c>
      <c r="F208" s="708" t="s">
        <v>2227</v>
      </c>
      <c r="G208" s="708" t="s">
        <v>357</v>
      </c>
      <c r="H208" s="657" t="s">
        <v>2997</v>
      </c>
      <c r="I208" s="656"/>
      <c r="J208" s="656"/>
      <c r="K208" s="656"/>
      <c r="L208" s="149" t="str">
        <f t="shared" si="15"/>
        <v>370</v>
      </c>
      <c r="M208" s="150" t="str">
        <f t="shared" si="16"/>
        <v>BENEFICES NON REPARTIS</v>
      </c>
      <c r="N208" s="151">
        <f>+IF(OR($Q208=Parametres!$G$2,$Q208=Parametres!$G$3),I208,C208)</f>
        <v>-3860699.74</v>
      </c>
      <c r="O208" s="151">
        <f>+IF(OR($Q208=Parametres!$G$2,$Q208=Parametres!$G$3),J208,D208)</f>
        <v>0</v>
      </c>
      <c r="P208" s="151">
        <f>+IF(OR($Q208=Parametres!$G$2,$Q208=Parametres!$G$3),K208,E208)</f>
        <v>-3860699.74</v>
      </c>
      <c r="Q208" s="150" t="str">
        <f t="shared" si="17"/>
        <v>4-Valeur nette</v>
      </c>
      <c r="R208" s="149" t="str">
        <f t="shared" si="18"/>
        <v>370</v>
      </c>
      <c r="S208" s="150" t="str">
        <f t="shared" si="19"/>
        <v>_</v>
      </c>
      <c r="T208" s="152" t="str">
        <f>+VLOOKUP($L208,Data_Validation!$A:$D,1,0)</f>
        <v>370</v>
      </c>
      <c r="U208" s="152" t="str">
        <f>+VLOOKUP($L208,Data_Validation!$A:$D,3,0)</f>
        <v>Bilan</v>
      </c>
      <c r="V208" s="152" t="str">
        <f>+VLOOKUP($L208,Data_Validation!$A:$D,4,0)</f>
        <v>Bénéfices non répartis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1076</v>
      </c>
      <c r="B209" s="708" t="s">
        <v>401</v>
      </c>
      <c r="C209" s="710">
        <v>-3276697</v>
      </c>
      <c r="D209" s="710">
        <v>-388200</v>
      </c>
      <c r="E209" s="710">
        <v>-3664897</v>
      </c>
      <c r="F209" s="708" t="s">
        <v>2006</v>
      </c>
      <c r="G209" s="708" t="s">
        <v>401</v>
      </c>
      <c r="H209" s="664" t="s">
        <v>2997</v>
      </c>
      <c r="I209" s="663"/>
      <c r="J209" s="663"/>
      <c r="K209" s="663"/>
      <c r="L209" s="149" t="str">
        <f t="shared" si="15"/>
        <v>444C</v>
      </c>
      <c r="M209" s="150" t="str">
        <f t="shared" si="16"/>
        <v>VTE - GROS AUTRES</v>
      </c>
      <c r="N209" s="151">
        <f>+IF(OR($Q209=Parametres!$G$2,$Q209=Parametres!$G$3),I209,C209)</f>
        <v>-3276697</v>
      </c>
      <c r="O209" s="151">
        <f>+IF(OR($Q209=Parametres!$G$2,$Q209=Parametres!$G$3),J209,D209)</f>
        <v>-388200</v>
      </c>
      <c r="P209" s="151">
        <f>+IF(OR($Q209=Parametres!$G$2,$Q209=Parametres!$G$3),K209,E209)</f>
        <v>-3664897</v>
      </c>
      <c r="Q209" s="150" t="str">
        <f t="shared" si="17"/>
        <v>5-Ventes</v>
      </c>
      <c r="R209" s="149" t="str">
        <f t="shared" si="18"/>
        <v>444C</v>
      </c>
      <c r="S209" s="150" t="str">
        <f t="shared" si="19"/>
        <v>_</v>
      </c>
      <c r="T209" s="152" t="str">
        <f>+VLOOKUP($L209,Data_Validation!$A:$D,1,0)</f>
        <v>444C</v>
      </c>
      <c r="U209" s="152" t="str">
        <f>+VLOOKUP($L209,Data_Validation!$A:$D,3,0)</f>
        <v>Véhicules usagés</v>
      </c>
      <c r="V209" s="152" t="str">
        <f>+VLOOKUP($L209,Data_Validation!$A:$D,4,0)</f>
        <v>Ventes au Gros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08" t="s">
        <v>1094</v>
      </c>
      <c r="B210" s="708" t="s">
        <v>616</v>
      </c>
      <c r="C210" s="710">
        <v>-2808074.13</v>
      </c>
      <c r="D210" s="710">
        <v>-294204.5</v>
      </c>
      <c r="E210" s="710">
        <v>-3102278.63</v>
      </c>
      <c r="F210" s="708" t="s">
        <v>2006</v>
      </c>
      <c r="G210" s="708" t="s">
        <v>616</v>
      </c>
      <c r="H210" s="709" t="s">
        <v>2997</v>
      </c>
      <c r="I210" s="709"/>
      <c r="J210" s="709"/>
      <c r="K210" s="709"/>
      <c r="L210" s="149" t="str">
        <f t="shared" si="15"/>
        <v>418</v>
      </c>
      <c r="M210" s="150" t="str">
        <f t="shared" si="16"/>
        <v>VTE - AUTRES MODELES BMW</v>
      </c>
      <c r="N210" s="151">
        <f>+IF(OR($Q210=Parametres!$G$2,$Q210=Parametres!$G$3),I210,C210)</f>
        <v>-2808074.13</v>
      </c>
      <c r="O210" s="151">
        <f>+IF(OR($Q210=Parametres!$G$2,$Q210=Parametres!$G$3),J210,D210)</f>
        <v>-294204.5</v>
      </c>
      <c r="P210" s="151">
        <f>+IF(OR($Q210=Parametres!$G$2,$Q210=Parametres!$G$3),K210,E210)</f>
        <v>-3102278.63</v>
      </c>
      <c r="Q210" s="150" t="str">
        <f t="shared" si="17"/>
        <v>5-Ventes</v>
      </c>
      <c r="R210" s="149" t="str">
        <f t="shared" si="18"/>
        <v>418</v>
      </c>
      <c r="S210" s="150" t="str">
        <f t="shared" si="19"/>
        <v>_</v>
      </c>
      <c r="T210" s="152" t="str">
        <f>+VLOOKUP($L210,Data_Validation!$A:$D,1,0)</f>
        <v>418</v>
      </c>
      <c r="U210" s="152" t="str">
        <f>+VLOOKUP($L210,Data_Validation!$A:$D,3,0)</f>
        <v>Véhicules neufs</v>
      </c>
      <c r="V210" s="152" t="str">
        <f>+VLOOKUP($L210,Data_Validation!$A:$D,4,0)</f>
        <v>Ex-Démos et courtoisies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08" t="s">
        <v>1081</v>
      </c>
      <c r="B211" s="708" t="s">
        <v>410</v>
      </c>
      <c r="C211" s="710">
        <v>-2372844.29</v>
      </c>
      <c r="D211" s="710">
        <v>0</v>
      </c>
      <c r="E211" s="710">
        <v>-2372844.29</v>
      </c>
      <c r="F211" s="708" t="s">
        <v>2006</v>
      </c>
      <c r="G211" s="708" t="s">
        <v>410</v>
      </c>
      <c r="H211" s="664" t="s">
        <v>2997</v>
      </c>
      <c r="I211" s="663"/>
      <c r="J211" s="663"/>
      <c r="K211" s="663"/>
      <c r="L211" s="149" t="str">
        <f t="shared" si="15"/>
        <v>416</v>
      </c>
      <c r="M211" s="150" t="str">
        <f t="shared" si="16"/>
        <v>VTE - X1 XDRIVE 28I</v>
      </c>
      <c r="N211" s="151">
        <f>+IF(OR($Q211=Parametres!$G$2,$Q211=Parametres!$G$3),I211,C211)</f>
        <v>-2372844.29</v>
      </c>
      <c r="O211" s="151">
        <f>+IF(OR($Q211=Parametres!$G$2,$Q211=Parametres!$G$3),J211,D211)</f>
        <v>0</v>
      </c>
      <c r="P211" s="151">
        <f>+IF(OR($Q211=Parametres!$G$2,$Q211=Parametres!$G$3),K211,E211)</f>
        <v>-2372844.29</v>
      </c>
      <c r="Q211" s="150" t="str">
        <f t="shared" si="17"/>
        <v>5-Ventes</v>
      </c>
      <c r="R211" s="149" t="str">
        <f t="shared" si="18"/>
        <v>416</v>
      </c>
      <c r="S211" s="150" t="str">
        <f t="shared" si="19"/>
        <v>_</v>
      </c>
      <c r="T211" s="152" t="str">
        <f>+VLOOKUP($L211,Data_Validation!$A:$D,1,0)</f>
        <v>416</v>
      </c>
      <c r="U211" s="152" t="str">
        <f>+VLOOKUP($L211,Data_Validation!$A:$D,3,0)</f>
        <v>Véhicules neufs</v>
      </c>
      <c r="V211" s="152" t="str">
        <f>+VLOOKUP($L211,Data_Validation!$A:$D,4,0)</f>
        <v>Camions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08" t="s">
        <v>1386</v>
      </c>
      <c r="B212" s="708" t="s">
        <v>617</v>
      </c>
      <c r="C212" s="710">
        <v>-1933810.4</v>
      </c>
      <c r="D212" s="710">
        <v>-74998.5</v>
      </c>
      <c r="E212" s="710">
        <v>-2008808.9</v>
      </c>
      <c r="F212" s="708" t="s">
        <v>2006</v>
      </c>
      <c r="G212" s="708" t="s">
        <v>617</v>
      </c>
      <c r="H212" s="664" t="s">
        <v>2997</v>
      </c>
      <c r="I212" s="663"/>
      <c r="J212" s="663"/>
      <c r="K212" s="663"/>
      <c r="L212" s="149" t="str">
        <f t="shared" si="15"/>
        <v>423C</v>
      </c>
      <c r="M212" s="150" t="str">
        <f t="shared" si="16"/>
        <v>VTES -X3 XDRIVE 30E</v>
      </c>
      <c r="N212" s="151">
        <f>+IF(OR($Q212=Parametres!$G$2,$Q212=Parametres!$G$3),I212,C212)</f>
        <v>-1933810.4</v>
      </c>
      <c r="O212" s="151">
        <f>+IF(OR($Q212=Parametres!$G$2,$Q212=Parametres!$G$3),J212,D212)</f>
        <v>-74998.5</v>
      </c>
      <c r="P212" s="151">
        <f>+IF(OR($Q212=Parametres!$G$2,$Q212=Parametres!$G$3),K212,E212)</f>
        <v>-2008808.9</v>
      </c>
      <c r="Q212" s="150" t="str">
        <f t="shared" si="17"/>
        <v>5-Ventes</v>
      </c>
      <c r="R212" s="149" t="str">
        <f t="shared" si="18"/>
        <v>423C</v>
      </c>
      <c r="S212" s="150" t="str">
        <f t="shared" si="19"/>
        <v>_</v>
      </c>
      <c r="T212" s="152" t="str">
        <f>+VLOOKUP($L212,Data_Validation!$A:$D,1,0)</f>
        <v>423C</v>
      </c>
      <c r="U212" s="152" t="str">
        <f>+VLOOKUP($L212,Data_Validation!$A:$D,3,0)</f>
        <v>Véhicules neufs</v>
      </c>
      <c r="V212" s="152" t="str">
        <f>+VLOOKUP($L212,Data_Validation!$A:$D,4,0)</f>
        <v>Camions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08" t="s">
        <v>1082</v>
      </c>
      <c r="B213" s="708" t="s">
        <v>384</v>
      </c>
      <c r="C213" s="710">
        <v>-1817277.48</v>
      </c>
      <c r="D213" s="710">
        <v>-133931</v>
      </c>
      <c r="E213" s="710">
        <v>-1951208.48</v>
      </c>
      <c r="F213" s="708" t="s">
        <v>2006</v>
      </c>
      <c r="G213" s="708" t="s">
        <v>384</v>
      </c>
      <c r="H213" s="664" t="s">
        <v>2997</v>
      </c>
      <c r="I213" s="663"/>
      <c r="J213" s="663"/>
      <c r="K213" s="663"/>
      <c r="L213" s="149" t="str">
        <f t="shared" si="15"/>
        <v>442</v>
      </c>
      <c r="M213" s="150" t="str">
        <f t="shared" si="16"/>
        <v>VTE - USAGE AUTRES</v>
      </c>
      <c r="N213" s="151">
        <f>+IF(OR($Q213=Parametres!$G$2,$Q213=Parametres!$G$3),I213,C213)</f>
        <v>-1817277.48</v>
      </c>
      <c r="O213" s="151">
        <f>+IF(OR($Q213=Parametres!$G$2,$Q213=Parametres!$G$3),J213,D213)</f>
        <v>-133931</v>
      </c>
      <c r="P213" s="151">
        <f>+IF(OR($Q213=Parametres!$G$2,$Q213=Parametres!$G$3),K213,E213)</f>
        <v>-1951208.48</v>
      </c>
      <c r="Q213" s="150" t="str">
        <f t="shared" si="17"/>
        <v>5-Ventes</v>
      </c>
      <c r="R213" s="149" t="str">
        <f t="shared" si="18"/>
        <v>442</v>
      </c>
      <c r="S213" s="150" t="str">
        <f t="shared" si="19"/>
        <v>_</v>
      </c>
      <c r="T213" s="152" t="str">
        <f>+VLOOKUP($L213,Data_Validation!$A:$D,1,0)</f>
        <v>442</v>
      </c>
      <c r="U213" s="152" t="str">
        <f>+VLOOKUP($L213,Data_Validation!$A:$D,3,0)</f>
        <v>Véhicules usagés</v>
      </c>
      <c r="V213" s="152" t="str">
        <f>+VLOOKUP($L213,Data_Validation!$A:$D,4,0)</f>
        <v>Autres marques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08" t="s">
        <v>1086</v>
      </c>
      <c r="B214" s="708" t="s">
        <v>418</v>
      </c>
      <c r="C214" s="710">
        <v>-1259504.52</v>
      </c>
      <c r="D214" s="710">
        <v>-221002.64</v>
      </c>
      <c r="E214" s="710">
        <v>-1480507.16</v>
      </c>
      <c r="F214" s="708" t="s">
        <v>2006</v>
      </c>
      <c r="G214" s="708" t="s">
        <v>418</v>
      </c>
      <c r="H214" s="709" t="s">
        <v>2997</v>
      </c>
      <c r="I214" s="709"/>
      <c r="J214" s="709"/>
      <c r="K214" s="709"/>
      <c r="L214" s="149" t="str">
        <f t="shared" si="15"/>
        <v>446A</v>
      </c>
      <c r="M214" s="150" t="str">
        <f t="shared" si="16"/>
        <v>VTE - USAGE BMW CAMION CERT</v>
      </c>
      <c r="N214" s="151">
        <f>+IF(OR($Q214=Parametres!$G$2,$Q214=Parametres!$G$3),I214,C214)</f>
        <v>-1259504.52</v>
      </c>
      <c r="O214" s="151">
        <f>+IF(OR($Q214=Parametres!$G$2,$Q214=Parametres!$G$3),J214,D214)</f>
        <v>-221002.64</v>
      </c>
      <c r="P214" s="151">
        <f>+IF(OR($Q214=Parametres!$G$2,$Q214=Parametres!$G$3),K214,E214)</f>
        <v>-1480507.16</v>
      </c>
      <c r="Q214" s="150" t="str">
        <f t="shared" si="17"/>
        <v>5-Ventes</v>
      </c>
      <c r="R214" s="149" t="str">
        <f t="shared" si="18"/>
        <v>446A</v>
      </c>
      <c r="S214" s="150" t="str">
        <f t="shared" si="19"/>
        <v>_</v>
      </c>
      <c r="T214" s="152" t="str">
        <f>+VLOOKUP($L214,Data_Validation!$A:$D,1,0)</f>
        <v>446A</v>
      </c>
      <c r="U214" s="152" t="str">
        <f>+VLOOKUP($L214,Data_Validation!$A:$D,3,0)</f>
        <v>Véhicules usagés</v>
      </c>
      <c r="V214" s="152" t="str">
        <f>+VLOOKUP($L214,Data_Validation!$A:$D,4,0)</f>
        <v>Certifié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08" t="s">
        <v>1091</v>
      </c>
      <c r="B215" s="708" t="s">
        <v>420</v>
      </c>
      <c r="C215" s="710">
        <v>-1251637.99</v>
      </c>
      <c r="D215" s="710">
        <v>-65000</v>
      </c>
      <c r="E215" s="710">
        <v>-1316637.99</v>
      </c>
      <c r="F215" s="708" t="s">
        <v>2006</v>
      </c>
      <c r="G215" s="708" t="s">
        <v>420</v>
      </c>
      <c r="H215" s="664" t="s">
        <v>2997</v>
      </c>
      <c r="I215" s="663"/>
      <c r="J215" s="663"/>
      <c r="K215" s="663"/>
      <c r="L215" s="149" t="str">
        <f t="shared" si="15"/>
        <v>440A</v>
      </c>
      <c r="M215" s="150" t="str">
        <f t="shared" si="16"/>
        <v>VTE - USAGE BMW AUTO CERT</v>
      </c>
      <c r="N215" s="151">
        <f>+IF(OR($Q215=Parametres!$G$2,$Q215=Parametres!$G$3),I215,C215)</f>
        <v>-1251637.99</v>
      </c>
      <c r="O215" s="151">
        <f>+IF(OR($Q215=Parametres!$G$2,$Q215=Parametres!$G$3),J215,D215)</f>
        <v>-65000</v>
      </c>
      <c r="P215" s="151">
        <f>+IF(OR($Q215=Parametres!$G$2,$Q215=Parametres!$G$3),K215,E215)</f>
        <v>-1316637.99</v>
      </c>
      <c r="Q215" s="150" t="str">
        <f t="shared" si="17"/>
        <v>5-Ventes</v>
      </c>
      <c r="R215" s="149" t="str">
        <f t="shared" si="18"/>
        <v>440A</v>
      </c>
      <c r="S215" s="150" t="str">
        <f t="shared" si="19"/>
        <v>_</v>
      </c>
      <c r="T215" s="152" t="str">
        <f>+VLOOKUP($L215,Data_Validation!$A:$D,1,0)</f>
        <v>440A</v>
      </c>
      <c r="U215" s="152" t="str">
        <f>+VLOOKUP($L215,Data_Validation!$A:$D,3,0)</f>
        <v>Véhicules usagés</v>
      </c>
      <c r="V215" s="152" t="str">
        <f>+VLOOKUP($L215,Data_Validation!$A:$D,4,0)</f>
        <v>Certifié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08" t="s">
        <v>1070</v>
      </c>
      <c r="B216" s="708" t="s">
        <v>398</v>
      </c>
      <c r="C216" s="710">
        <v>-1178895</v>
      </c>
      <c r="D216" s="710">
        <v>-323700</v>
      </c>
      <c r="E216" s="710">
        <v>-1502595</v>
      </c>
      <c r="F216" s="708" t="s">
        <v>2006</v>
      </c>
      <c r="G216" s="708" t="s">
        <v>398</v>
      </c>
      <c r="H216" s="600" t="s">
        <v>2997</v>
      </c>
      <c r="I216" s="153"/>
      <c r="J216" s="153"/>
      <c r="K216" s="153"/>
      <c r="L216" s="149" t="str">
        <f t="shared" si="15"/>
        <v>444B</v>
      </c>
      <c r="M216" s="150" t="str">
        <f t="shared" si="16"/>
        <v>VTE - GROS BMW CAMION</v>
      </c>
      <c r="N216" s="151">
        <f>+IF(OR($Q216=Parametres!$G$2,$Q216=Parametres!$G$3),I216,C216)</f>
        <v>-1178895</v>
      </c>
      <c r="O216" s="151">
        <f>+IF(OR($Q216=Parametres!$G$2,$Q216=Parametres!$G$3),J216,D216)</f>
        <v>-323700</v>
      </c>
      <c r="P216" s="151">
        <f>+IF(OR($Q216=Parametres!$G$2,$Q216=Parametres!$G$3),K216,E216)</f>
        <v>-1502595</v>
      </c>
      <c r="Q216" s="150" t="str">
        <f t="shared" si="17"/>
        <v>5-Ventes</v>
      </c>
      <c r="R216" s="149" t="str">
        <f t="shared" si="18"/>
        <v>444B</v>
      </c>
      <c r="S216" s="150" t="str">
        <f t="shared" si="19"/>
        <v>_</v>
      </c>
      <c r="T216" s="152" t="str">
        <f>+VLOOKUP($L216,Data_Validation!$A:$D,1,0)</f>
        <v>444B</v>
      </c>
      <c r="U216" s="152" t="str">
        <f>+VLOOKUP($L216,Data_Validation!$A:$D,3,0)</f>
        <v>Véhicules usagés</v>
      </c>
      <c r="V216" s="152" t="str">
        <f>+VLOOKUP($L216,Data_Validation!$A:$D,4,0)</f>
        <v>Ventes au Gros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08" t="s">
        <v>1088</v>
      </c>
      <c r="B217" s="708" t="s">
        <v>404</v>
      </c>
      <c r="C217" s="710">
        <v>-1032085.53</v>
      </c>
      <c r="D217" s="710">
        <v>-257147.82</v>
      </c>
      <c r="E217" s="710">
        <v>-1289233.3500000001</v>
      </c>
      <c r="F217" s="708" t="s">
        <v>2006</v>
      </c>
      <c r="G217" s="708" t="s">
        <v>404</v>
      </c>
      <c r="H217" s="664" t="s">
        <v>2997</v>
      </c>
      <c r="I217" s="663"/>
      <c r="J217" s="663"/>
      <c r="K217" s="663"/>
      <c r="L217" s="149" t="str">
        <f t="shared" si="15"/>
        <v>446B</v>
      </c>
      <c r="M217" s="150" t="str">
        <f t="shared" si="16"/>
        <v>VTE - USAGE BMW CAMION NON-CERT</v>
      </c>
      <c r="N217" s="151">
        <f>+IF(OR($Q217=Parametres!$G$2,$Q217=Parametres!$G$3),I217,C217)</f>
        <v>-1032085.53</v>
      </c>
      <c r="O217" s="151">
        <f>+IF(OR($Q217=Parametres!$G$2,$Q217=Parametres!$G$3),J217,D217)</f>
        <v>-257147.82</v>
      </c>
      <c r="P217" s="151">
        <f>+IF(OR($Q217=Parametres!$G$2,$Q217=Parametres!$G$3),K217,E217)</f>
        <v>-1289233.3500000001</v>
      </c>
      <c r="Q217" s="150" t="str">
        <f t="shared" si="17"/>
        <v>5-Ventes</v>
      </c>
      <c r="R217" s="149" t="str">
        <f t="shared" si="18"/>
        <v>446B</v>
      </c>
      <c r="S217" s="150" t="str">
        <f t="shared" si="19"/>
        <v>_</v>
      </c>
      <c r="T217" s="152" t="str">
        <f>+VLOOKUP($L217,Data_Validation!$A:$D,1,0)</f>
        <v>446B</v>
      </c>
      <c r="U217" s="152" t="str">
        <f>+VLOOKUP($L217,Data_Validation!$A:$D,3,0)</f>
        <v>Véhicules usagés</v>
      </c>
      <c r="V217" s="152" t="str">
        <f>+VLOOKUP($L217,Data_Validation!$A:$D,4,0)</f>
        <v>Non Certifié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08" t="s">
        <v>1077</v>
      </c>
      <c r="B218" s="708" t="s">
        <v>618</v>
      </c>
      <c r="C218" s="710">
        <v>-1020528.33</v>
      </c>
      <c r="D218" s="710">
        <v>-103517.33</v>
      </c>
      <c r="E218" s="710">
        <v>-1124045.6599999999</v>
      </c>
      <c r="F218" s="708" t="s">
        <v>2006</v>
      </c>
      <c r="G218" s="708" t="s">
        <v>618</v>
      </c>
      <c r="H218" s="709" t="s">
        <v>2997</v>
      </c>
      <c r="I218" s="709"/>
      <c r="J218" s="709"/>
      <c r="K218" s="709"/>
      <c r="L218" s="149" t="str">
        <f t="shared" si="15"/>
        <v>423D</v>
      </c>
      <c r="M218" s="150" t="str">
        <f t="shared" si="16"/>
        <v>VTES -VTE - X5 XDRIVE 35I/ X5 XDRIVE 40I</v>
      </c>
      <c r="N218" s="151">
        <f>+IF(OR($Q218=Parametres!$G$2,$Q218=Parametres!$G$3),I218,C218)</f>
        <v>-1020528.33</v>
      </c>
      <c r="O218" s="151">
        <f>+IF(OR($Q218=Parametres!$G$2,$Q218=Parametres!$G$3),J218,D218)</f>
        <v>-103517.33</v>
      </c>
      <c r="P218" s="151">
        <f>+IF(OR($Q218=Parametres!$G$2,$Q218=Parametres!$G$3),K218,E218)</f>
        <v>-1124045.6599999999</v>
      </c>
      <c r="Q218" s="150" t="str">
        <f t="shared" si="17"/>
        <v>5-Ventes</v>
      </c>
      <c r="R218" s="149" t="str">
        <f t="shared" si="18"/>
        <v>423D</v>
      </c>
      <c r="S218" s="150" t="str">
        <f t="shared" si="19"/>
        <v>_</v>
      </c>
      <c r="T218" s="152" t="str">
        <f>+VLOOKUP($L218,Data_Validation!$A:$D,1,0)</f>
        <v>423D</v>
      </c>
      <c r="U218" s="152" t="str">
        <f>+VLOOKUP($L218,Data_Validation!$A:$D,3,0)</f>
        <v>Véhicules neufs</v>
      </c>
      <c r="V218" s="152" t="str">
        <f>+VLOOKUP($L218,Data_Validation!$A:$D,4,0)</f>
        <v>Camions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08" t="s">
        <v>1071</v>
      </c>
      <c r="B219" s="708" t="s">
        <v>1072</v>
      </c>
      <c r="C219" s="710">
        <v>-1016990</v>
      </c>
      <c r="D219" s="710">
        <v>-255900</v>
      </c>
      <c r="E219" s="710">
        <v>-1272890</v>
      </c>
      <c r="F219" s="708" t="s">
        <v>2006</v>
      </c>
      <c r="G219" s="708" t="s">
        <v>1072</v>
      </c>
      <c r="H219" s="664" t="s">
        <v>2997</v>
      </c>
      <c r="I219" s="663"/>
      <c r="J219" s="663"/>
      <c r="K219" s="663"/>
      <c r="L219" s="149" t="str">
        <f t="shared" si="15"/>
        <v>444A</v>
      </c>
      <c r="M219" s="150" t="str">
        <f t="shared" si="16"/>
        <v>VTE - GROS BMW AUTO</v>
      </c>
      <c r="N219" s="151">
        <f>+IF(OR($Q219=Parametres!$G$2,$Q219=Parametres!$G$3),I219,C219)</f>
        <v>-1016990</v>
      </c>
      <c r="O219" s="151">
        <f>+IF(OR($Q219=Parametres!$G$2,$Q219=Parametres!$G$3),J219,D219)</f>
        <v>-255900</v>
      </c>
      <c r="P219" s="151">
        <f>+IF(OR($Q219=Parametres!$G$2,$Q219=Parametres!$G$3),K219,E219)</f>
        <v>-1272890</v>
      </c>
      <c r="Q219" s="150" t="str">
        <f t="shared" si="17"/>
        <v>5-Ventes</v>
      </c>
      <c r="R219" s="149" t="str">
        <f t="shared" si="18"/>
        <v>444A</v>
      </c>
      <c r="S219" s="150" t="str">
        <f t="shared" si="19"/>
        <v>_</v>
      </c>
      <c r="T219" s="152" t="str">
        <f>+VLOOKUP($L219,Data_Validation!$A:$D,1,0)</f>
        <v>444A</v>
      </c>
      <c r="U219" s="152" t="str">
        <f>+VLOOKUP($L219,Data_Validation!$A:$D,3,0)</f>
        <v>Véhicules usagés</v>
      </c>
      <c r="V219" s="152" t="str">
        <f>+VLOOKUP($L219,Data_Validation!$A:$D,4,0)</f>
        <v>Ventes au Gros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08" t="s">
        <v>1395</v>
      </c>
      <c r="B220" s="708" t="s">
        <v>416</v>
      </c>
      <c r="C220" s="710">
        <v>-971699.32</v>
      </c>
      <c r="D220" s="710">
        <v>-58882</v>
      </c>
      <c r="E220" s="710">
        <v>-1030581.32</v>
      </c>
      <c r="F220" s="708" t="s">
        <v>2006</v>
      </c>
      <c r="G220" s="708" t="s">
        <v>416</v>
      </c>
      <c r="H220" s="664" t="s">
        <v>2997</v>
      </c>
      <c r="I220" s="663"/>
      <c r="J220" s="663"/>
      <c r="K220" s="663"/>
      <c r="L220" s="149" t="str">
        <f t="shared" si="15"/>
        <v>440B</v>
      </c>
      <c r="M220" s="150" t="str">
        <f t="shared" si="16"/>
        <v>VTE - USAGE BMW AUTO NON-CERT</v>
      </c>
      <c r="N220" s="151">
        <f>+IF(OR($Q220=Parametres!$G$2,$Q220=Parametres!$G$3),I220,C220)</f>
        <v>-971699.32</v>
      </c>
      <c r="O220" s="151">
        <f>+IF(OR($Q220=Parametres!$G$2,$Q220=Parametres!$G$3),J220,D220)</f>
        <v>-58882</v>
      </c>
      <c r="P220" s="151">
        <f>+IF(OR($Q220=Parametres!$G$2,$Q220=Parametres!$G$3),K220,E220)</f>
        <v>-1030581.32</v>
      </c>
      <c r="Q220" s="150" t="str">
        <f t="shared" si="17"/>
        <v>5-Ventes</v>
      </c>
      <c r="R220" s="149" t="str">
        <f t="shared" si="18"/>
        <v>440B</v>
      </c>
      <c r="S220" s="150" t="str">
        <f t="shared" si="19"/>
        <v>_</v>
      </c>
      <c r="T220" s="152" t="str">
        <f>+VLOOKUP($L220,Data_Validation!$A:$D,1,0)</f>
        <v>440B</v>
      </c>
      <c r="U220" s="152" t="str">
        <f>+VLOOKUP($L220,Data_Validation!$A:$D,3,0)</f>
        <v>Véhicules usagés</v>
      </c>
      <c r="V220" s="152" t="str">
        <f>+VLOOKUP($L220,Data_Validation!$A:$D,4,0)</f>
        <v>Non Certifié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08" t="s">
        <v>1396</v>
      </c>
      <c r="B221" s="708" t="s">
        <v>400</v>
      </c>
      <c r="C221" s="710">
        <v>-862853.33</v>
      </c>
      <c r="D221" s="710">
        <v>-44570.15</v>
      </c>
      <c r="E221" s="710">
        <v>-907423.48</v>
      </c>
      <c r="F221" s="708" t="s">
        <v>2006</v>
      </c>
      <c r="G221" s="708" t="s">
        <v>400</v>
      </c>
      <c r="H221" s="657" t="s">
        <v>2997</v>
      </c>
      <c r="I221" s="656"/>
      <c r="J221" s="656"/>
      <c r="K221" s="656"/>
      <c r="L221" s="149" t="str">
        <f t="shared" si="15"/>
        <v>448</v>
      </c>
      <c r="M221" s="150" t="str">
        <f t="shared" si="16"/>
        <v>VTE - RACHAT LOCATION BMW</v>
      </c>
      <c r="N221" s="151">
        <f>+IF(OR($Q221=Parametres!$G$2,$Q221=Parametres!$G$3),I221,C221)</f>
        <v>-862853.33</v>
      </c>
      <c r="O221" s="151">
        <f>+IF(OR($Q221=Parametres!$G$2,$Q221=Parametres!$G$3),J221,D221)</f>
        <v>-44570.15</v>
      </c>
      <c r="P221" s="151">
        <f>+IF(OR($Q221=Parametres!$G$2,$Q221=Parametres!$G$3),K221,E221)</f>
        <v>-907423.48</v>
      </c>
      <c r="Q221" s="150" t="str">
        <f t="shared" si="17"/>
        <v>5-Ventes</v>
      </c>
      <c r="R221" s="149" t="str">
        <f t="shared" si="18"/>
        <v>448</v>
      </c>
      <c r="S221" s="150" t="str">
        <f t="shared" si="19"/>
        <v>_</v>
      </c>
      <c r="T221" s="152" t="str">
        <f>+VLOOKUP($L221,Data_Validation!$A:$D,1,0)</f>
        <v>448</v>
      </c>
      <c r="U221" s="152" t="str">
        <f>+VLOOKUP($L221,Data_Validation!$A:$D,3,0)</f>
        <v>Véhicules neufs</v>
      </c>
      <c r="V221" s="152" t="str">
        <f>+VLOOKUP($L221,Data_Validation!$A:$D,4,0)</f>
        <v>Rachat bail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08" t="s">
        <v>2485</v>
      </c>
      <c r="B222" s="708" t="s">
        <v>2486</v>
      </c>
      <c r="C222" s="710">
        <v>-799215.54</v>
      </c>
      <c r="D222" s="710">
        <v>0</v>
      </c>
      <c r="E222" s="710">
        <v>-799215.54</v>
      </c>
      <c r="F222" s="708" t="s">
        <v>2006</v>
      </c>
      <c r="G222" s="708" t="s">
        <v>2486</v>
      </c>
      <c r="H222" s="664" t="s">
        <v>2997</v>
      </c>
      <c r="I222" s="664"/>
      <c r="J222" s="664"/>
      <c r="K222" s="664"/>
      <c r="L222" s="149" t="str">
        <f t="shared" si="15"/>
        <v>423F</v>
      </c>
      <c r="M222" s="150" t="str">
        <f t="shared" si="16"/>
        <v>VTES -VTE - X5 xDRIVE50e</v>
      </c>
      <c r="N222" s="151">
        <f>+IF(OR($Q222=Parametres!$G$2,$Q222=Parametres!$G$3),I222,C222)</f>
        <v>-799215.54</v>
      </c>
      <c r="O222" s="151">
        <f>+IF(OR($Q222=Parametres!$G$2,$Q222=Parametres!$G$3),J222,D222)</f>
        <v>0</v>
      </c>
      <c r="P222" s="151">
        <f>+IF(OR($Q222=Parametres!$G$2,$Q222=Parametres!$G$3),K222,E222)</f>
        <v>-799215.54</v>
      </c>
      <c r="Q222" s="150" t="str">
        <f t="shared" si="17"/>
        <v>5-Ventes</v>
      </c>
      <c r="R222" s="149" t="str">
        <f t="shared" si="18"/>
        <v>423F</v>
      </c>
      <c r="S222" s="150" t="str">
        <f t="shared" si="19"/>
        <v>_</v>
      </c>
      <c r="T222" s="152" t="str">
        <f>+VLOOKUP($L222,Data_Validation!$A:$D,1,0)</f>
        <v>423F</v>
      </c>
      <c r="U222" s="152" t="str">
        <f>+VLOOKUP($L222,Data_Validation!$A:$D,3,0)</f>
        <v>Véhicules neufs</v>
      </c>
      <c r="V222" s="152" t="str">
        <f>+VLOOKUP($L222,Data_Validation!$A:$D,4,0)</f>
        <v>Camions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08" t="s">
        <v>2053</v>
      </c>
      <c r="B223" s="708" t="s">
        <v>2011</v>
      </c>
      <c r="C223" s="710">
        <v>-690952.24</v>
      </c>
      <c r="D223" s="710">
        <v>0</v>
      </c>
      <c r="E223" s="710">
        <v>-690952.24</v>
      </c>
      <c r="F223" s="708" t="s">
        <v>2006</v>
      </c>
      <c r="G223" s="708" t="s">
        <v>2011</v>
      </c>
      <c r="H223" s="664" t="s">
        <v>2997</v>
      </c>
      <c r="I223" s="663"/>
      <c r="J223" s="663"/>
      <c r="K223" s="663"/>
      <c r="L223" s="149" t="str">
        <f t="shared" si="15"/>
        <v>432</v>
      </c>
      <c r="M223" s="150" t="str">
        <f t="shared" si="16"/>
        <v>VTES -VTE - 530E XDRIVE</v>
      </c>
      <c r="N223" s="151">
        <f>+IF(OR($Q223=Parametres!$G$2,$Q223=Parametres!$G$3),I223,C223)</f>
        <v>-690952.24</v>
      </c>
      <c r="O223" s="497">
        <f>+IF(OR($Q223=Parametres!$G$2,$Q223=Parametres!$G$3),J223,D223)</f>
        <v>0</v>
      </c>
      <c r="P223" s="151">
        <f>+IF(OR($Q223=Parametres!$G$2,$Q223=Parametres!$G$3),K223,E223)</f>
        <v>-690952.24</v>
      </c>
      <c r="Q223" s="150" t="str">
        <f t="shared" si="17"/>
        <v>5-Ventes</v>
      </c>
      <c r="R223" s="149" t="str">
        <f t="shared" si="18"/>
        <v>432</v>
      </c>
      <c r="S223" s="150" t="str">
        <f t="shared" si="19"/>
        <v>_</v>
      </c>
      <c r="T223" s="152" t="str">
        <f>+VLOOKUP($L223,Data_Validation!$A:$D,1,0)</f>
        <v>432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08" t="s">
        <v>422</v>
      </c>
      <c r="B224" s="708" t="s">
        <v>417</v>
      </c>
      <c r="C224" s="710">
        <v>-672351.56</v>
      </c>
      <c r="D224" s="710">
        <v>-204347.3</v>
      </c>
      <c r="E224" s="710">
        <v>-876698.86</v>
      </c>
      <c r="F224" s="708" t="s">
        <v>2006</v>
      </c>
      <c r="G224" s="708" t="s">
        <v>417</v>
      </c>
      <c r="H224" s="664" t="s">
        <v>2997</v>
      </c>
      <c r="I224" s="663"/>
      <c r="J224" s="663"/>
      <c r="K224" s="663"/>
      <c r="L224" s="149" t="str">
        <f t="shared" si="15"/>
        <v>488A</v>
      </c>
      <c r="M224" s="150" t="str">
        <f t="shared" si="16"/>
        <v>VTE - PNEUS</v>
      </c>
      <c r="N224" s="151">
        <f>+IF(OR($Q224=Parametres!$G$2,$Q224=Parametres!$G$3),I224,C224)</f>
        <v>-672351.56</v>
      </c>
      <c r="O224" s="497">
        <f>+IF(OR($Q224=Parametres!$G$2,$Q224=Parametres!$G$3),J224,D224)</f>
        <v>-204347.3</v>
      </c>
      <c r="P224" s="151">
        <f>+IF(OR($Q224=Parametres!$G$2,$Q224=Parametres!$G$3),K224,E224)</f>
        <v>-876698.86</v>
      </c>
      <c r="Q224" s="150" t="str">
        <f t="shared" si="17"/>
        <v>5-Ventes</v>
      </c>
      <c r="R224" s="149" t="str">
        <f t="shared" si="18"/>
        <v>488A</v>
      </c>
      <c r="S224" s="150" t="str">
        <f t="shared" si="19"/>
        <v>_</v>
      </c>
      <c r="T224" s="152" t="str">
        <f>+VLOOKUP($L224,Data_Validation!$A:$D,1,0)</f>
        <v>488A</v>
      </c>
      <c r="U224" s="152" t="str">
        <f>+VLOOKUP($L224,Data_Validation!$A:$D,3,0)</f>
        <v>pièces</v>
      </c>
      <c r="V224" s="152" t="str">
        <f>+VLOOKUP($L224,Data_Validation!$A:$D,4,0)</f>
        <v>Ventes Pneus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08" t="s">
        <v>1864</v>
      </c>
      <c r="B225" s="708" t="s">
        <v>625</v>
      </c>
      <c r="C225" s="709">
        <v>-620394</v>
      </c>
      <c r="D225" s="709">
        <v>0</v>
      </c>
      <c r="E225" s="709">
        <v>-620394</v>
      </c>
      <c r="F225" s="708" t="s">
        <v>2006</v>
      </c>
      <c r="G225" s="708" t="s">
        <v>625</v>
      </c>
      <c r="H225" s="709" t="s">
        <v>2997</v>
      </c>
      <c r="I225" s="710"/>
      <c r="J225" s="710"/>
      <c r="K225" s="710"/>
      <c r="L225" s="149" t="str">
        <f t="shared" si="15"/>
        <v>430</v>
      </c>
      <c r="M225" s="150" t="str">
        <f t="shared" si="16"/>
        <v>VTE - M5 SEDAN</v>
      </c>
      <c r="N225" s="151">
        <f>+IF(OR($Q225=Parametres!$G$2,$Q225=Parametres!$G$3),I225,C225)</f>
        <v>-620394</v>
      </c>
      <c r="O225" s="151">
        <f>+IF(OR($Q225=Parametres!$G$2,$Q225=Parametres!$G$3),J225,D225)</f>
        <v>0</v>
      </c>
      <c r="P225" s="151">
        <f>+IF(OR($Q225=Parametres!$G$2,$Q225=Parametres!$G$3),K225,E225)</f>
        <v>-620394</v>
      </c>
      <c r="Q225" s="150" t="str">
        <f t="shared" si="17"/>
        <v>5-Ventes</v>
      </c>
      <c r="R225" s="149" t="str">
        <f t="shared" si="18"/>
        <v>430</v>
      </c>
      <c r="S225" s="150" t="str">
        <f t="shared" si="19"/>
        <v>_</v>
      </c>
      <c r="T225" s="152" t="str">
        <f>+VLOOKUP($L225,Data_Validation!$A:$D,1,0)</f>
        <v>430</v>
      </c>
      <c r="U225" s="152" t="str">
        <f>+VLOOKUP($L225,Data_Validation!$A:$D,3,0)</f>
        <v>Véhicules neufs</v>
      </c>
      <c r="V225" s="152" t="str">
        <f>+VLOOKUP($L225,Data_Validation!$A:$D,4,0)</f>
        <v>Autos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08" t="s">
        <v>2964</v>
      </c>
      <c r="B226" s="708" t="s">
        <v>2965</v>
      </c>
      <c r="C226" s="709">
        <v>-593388.92000000004</v>
      </c>
      <c r="D226" s="709">
        <v>-187737.06</v>
      </c>
      <c r="E226" s="709">
        <v>-781125.98</v>
      </c>
      <c r="F226" s="708" t="s">
        <v>2006</v>
      </c>
      <c r="G226" s="708" t="s">
        <v>2965</v>
      </c>
      <c r="H226" s="709" t="s">
        <v>2997</v>
      </c>
      <c r="I226" s="710"/>
      <c r="J226" s="710"/>
      <c r="K226" s="710"/>
      <c r="L226" s="149" t="str">
        <f t="shared" si="15"/>
        <v>409C</v>
      </c>
      <c r="M226" s="150" t="str">
        <f t="shared" si="16"/>
        <v>X3 M50 XDRIVE</v>
      </c>
      <c r="N226" s="151">
        <f>+IF(OR($Q226=Parametres!$G$2,$Q226=Parametres!$G$3),I226,C226)</f>
        <v>-593388.92000000004</v>
      </c>
      <c r="O226" s="494">
        <f>+IF(OR($Q226=Parametres!$G$2,$Q226=Parametres!$G$3),J226,D226)</f>
        <v>-187737.06</v>
      </c>
      <c r="P226" s="151">
        <f>+IF(OR($Q226=Parametres!$G$2,$Q226=Parametres!$G$3),K226,E226)</f>
        <v>-781125.98</v>
      </c>
      <c r="Q226" s="150" t="str">
        <f t="shared" si="17"/>
        <v>5-Ventes</v>
      </c>
      <c r="R226" s="149" t="str">
        <f t="shared" si="18"/>
        <v>409C</v>
      </c>
      <c r="S226" s="150" t="str">
        <f t="shared" si="19"/>
        <v>_</v>
      </c>
      <c r="T226" s="152" t="str">
        <f>+VLOOKUP($L226,Data_Validation!$A:$D,1,0)</f>
        <v>409C</v>
      </c>
      <c r="U226" s="152" t="str">
        <f>+VLOOKUP($L226,Data_Validation!$A:$D,3,0)</f>
        <v>Véhicules neufs</v>
      </c>
      <c r="V226" s="152" t="str">
        <f>+VLOOKUP($L226,Data_Validation!$A:$D,4,0)</f>
        <v>Camions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08" t="s">
        <v>2880</v>
      </c>
      <c r="B227" s="708" t="s">
        <v>2881</v>
      </c>
      <c r="C227" s="709">
        <v>-591687.74</v>
      </c>
      <c r="D227" s="709">
        <v>0</v>
      </c>
      <c r="E227" s="709">
        <v>-591687.74</v>
      </c>
      <c r="F227" s="708" t="s">
        <v>2006</v>
      </c>
      <c r="G227" s="708" t="s">
        <v>2881</v>
      </c>
      <c r="H227" s="709" t="s">
        <v>2997</v>
      </c>
      <c r="I227" s="710"/>
      <c r="J227" s="710"/>
      <c r="K227" s="710"/>
      <c r="L227" s="149" t="str">
        <f t="shared" si="15"/>
        <v>405L</v>
      </c>
      <c r="M227" s="150" t="str">
        <f t="shared" si="16"/>
        <v>M440I XDRIVE CABRIOLET</v>
      </c>
      <c r="N227" s="151">
        <f>+IF(OR($Q227=Parametres!$G$2,$Q227=Parametres!$G$3),I227,C227)</f>
        <v>-591687.74</v>
      </c>
      <c r="O227" s="151">
        <f>+IF(OR($Q227=Parametres!$G$2,$Q227=Parametres!$G$3),J227,D227)</f>
        <v>0</v>
      </c>
      <c r="P227" s="151">
        <f>+IF(OR($Q227=Parametres!$G$2,$Q227=Parametres!$G$3),K227,E227)</f>
        <v>-591687.74</v>
      </c>
      <c r="Q227" s="150" t="str">
        <f t="shared" si="17"/>
        <v>5-Ventes</v>
      </c>
      <c r="R227" s="149" t="str">
        <f t="shared" si="18"/>
        <v>405L</v>
      </c>
      <c r="S227" s="150" t="str">
        <f t="shared" si="19"/>
        <v>_</v>
      </c>
      <c r="T227" s="152" t="str">
        <f>+VLOOKUP($L227,Data_Validation!$A:$D,1,0)</f>
        <v>405L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08" t="s">
        <v>1166</v>
      </c>
      <c r="B228" s="708" t="s">
        <v>1167</v>
      </c>
      <c r="C228" s="709">
        <v>-548823.44999999995</v>
      </c>
      <c r="D228" s="709">
        <v>-50422.46</v>
      </c>
      <c r="E228" s="709">
        <v>-599245.91</v>
      </c>
      <c r="F228" s="708" t="s">
        <v>2006</v>
      </c>
      <c r="G228" s="708" t="s">
        <v>1167</v>
      </c>
      <c r="H228" s="709" t="s">
        <v>2997</v>
      </c>
      <c r="I228" s="710"/>
      <c r="J228" s="710"/>
      <c r="K228" s="710"/>
      <c r="L228" s="149" t="str">
        <f t="shared" si="15"/>
        <v>475A</v>
      </c>
      <c r="M228" s="150" t="str">
        <f t="shared" si="16"/>
        <v>VTE - PIECES GROS BMW AUTO</v>
      </c>
      <c r="N228" s="151">
        <f>+IF(OR($Q228=Parametres!$G$2,$Q228=Parametres!$G$3),I228,C228)</f>
        <v>-548823.44999999995</v>
      </c>
      <c r="O228" s="151">
        <f>+IF(OR($Q228=Parametres!$G$2,$Q228=Parametres!$G$3),J228,D228)</f>
        <v>-50422.46</v>
      </c>
      <c r="P228" s="151">
        <f>+IF(OR($Q228=Parametres!$G$2,$Q228=Parametres!$G$3),K228,E228)</f>
        <v>-599245.91</v>
      </c>
      <c r="Q228" s="150" t="str">
        <f t="shared" si="17"/>
        <v>5-Ventes</v>
      </c>
      <c r="R228" s="149" t="str">
        <f t="shared" si="18"/>
        <v>475A</v>
      </c>
      <c r="S228" s="150" t="str">
        <f t="shared" si="19"/>
        <v>_</v>
      </c>
      <c r="T228" s="152" t="str">
        <f>+VLOOKUP($L228,Data_Validation!$A:$D,1,0)</f>
        <v>475A</v>
      </c>
      <c r="U228" s="152" t="str">
        <f>+VLOOKUP($L228,Data_Validation!$A:$D,3,0)</f>
        <v>pièces</v>
      </c>
      <c r="V228" s="152" t="str">
        <f>+VLOOKUP($L228,Data_Validation!$A:$D,4,0)</f>
        <v>Ventes de Gros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08" t="s">
        <v>1982</v>
      </c>
      <c r="B229" s="708" t="s">
        <v>1983</v>
      </c>
      <c r="C229" s="710">
        <v>-488291.28</v>
      </c>
      <c r="D229" s="710">
        <v>0</v>
      </c>
      <c r="E229" s="710">
        <v>-488291.28</v>
      </c>
      <c r="F229" s="708" t="s">
        <v>2006</v>
      </c>
      <c r="G229" s="708" t="s">
        <v>1983</v>
      </c>
      <c r="H229" s="664" t="s">
        <v>2997</v>
      </c>
      <c r="I229" s="664"/>
      <c r="J229" s="664"/>
      <c r="K229" s="664"/>
      <c r="L229" s="149" t="str">
        <f t="shared" si="15"/>
        <v>405K</v>
      </c>
      <c r="M229" s="150" t="str">
        <f t="shared" si="16"/>
        <v>VTES -M440I XDR COUPE</v>
      </c>
      <c r="N229" s="151">
        <f>+IF(OR($Q229=Parametres!$G$2,$Q229=Parametres!$G$3),I229,C229)</f>
        <v>-488291.28</v>
      </c>
      <c r="O229" s="151">
        <f>+IF(OR($Q229=Parametres!$G$2,$Q229=Parametres!$G$3),J229,D229)</f>
        <v>0</v>
      </c>
      <c r="P229" s="151">
        <f>+IF(OR($Q229=Parametres!$G$2,$Q229=Parametres!$G$3),K229,E229)</f>
        <v>-488291.28</v>
      </c>
      <c r="Q229" s="150" t="str">
        <f t="shared" si="17"/>
        <v>5-Ventes</v>
      </c>
      <c r="R229" s="149" t="str">
        <f t="shared" si="18"/>
        <v>405K</v>
      </c>
      <c r="S229" s="150" t="str">
        <f t="shared" si="19"/>
        <v>_</v>
      </c>
      <c r="T229" s="152" t="str">
        <f>+VLOOKUP($L229,Data_Validation!$A:$D,1,0)</f>
        <v>405K</v>
      </c>
      <c r="U229" s="152" t="str">
        <f>+VLOOKUP($L229,Data_Validation!$A:$D,3,0)</f>
        <v>Véhicules neufs</v>
      </c>
      <c r="V229" s="152" t="str">
        <f>+VLOOKUP($L229,Data_Validation!$A:$D,4,0)</f>
        <v>Autos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08" t="s">
        <v>2342</v>
      </c>
      <c r="B230" s="708" t="s">
        <v>2343</v>
      </c>
      <c r="C230" s="710">
        <v>-462365.43</v>
      </c>
      <c r="D230" s="710">
        <v>0</v>
      </c>
      <c r="E230" s="710">
        <v>-462365.43</v>
      </c>
      <c r="F230" s="708" t="s">
        <v>2006</v>
      </c>
      <c r="G230" s="708" t="s">
        <v>2343</v>
      </c>
      <c r="H230" s="664" t="s">
        <v>2997</v>
      </c>
      <c r="I230" s="663"/>
      <c r="J230" s="663"/>
      <c r="K230" s="663"/>
      <c r="L230" s="149" t="str">
        <f t="shared" si="15"/>
        <v>403I</v>
      </c>
      <c r="M230" s="150" t="str">
        <f t="shared" si="16"/>
        <v>VTES -i4 M50i XDRIVE GRAN COUPE</v>
      </c>
      <c r="N230" s="151">
        <f>+IF(OR($Q230=Parametres!$G$2,$Q230=Parametres!$G$3),I230,C230)</f>
        <v>-462365.43</v>
      </c>
      <c r="O230" s="151">
        <f>+IF(OR($Q230=Parametres!$G$2,$Q230=Parametres!$G$3),J230,D230)</f>
        <v>0</v>
      </c>
      <c r="P230" s="151">
        <f>+IF(OR($Q230=Parametres!$G$2,$Q230=Parametres!$G$3),K230,E230)</f>
        <v>-462365.43</v>
      </c>
      <c r="Q230" s="150" t="str">
        <f t="shared" si="17"/>
        <v>5-Ventes</v>
      </c>
      <c r="R230" s="149" t="str">
        <f t="shared" si="18"/>
        <v>403I</v>
      </c>
      <c r="S230" s="150" t="str">
        <f t="shared" si="19"/>
        <v>_</v>
      </c>
      <c r="T230" s="152" t="str">
        <f>+VLOOKUP($L230,Data_Validation!$A:$D,1,0)</f>
        <v>403I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08" t="s">
        <v>2875</v>
      </c>
      <c r="B231" s="708" t="s">
        <v>2876</v>
      </c>
      <c r="C231" s="709">
        <v>-453041.2</v>
      </c>
      <c r="D231" s="709">
        <v>-134928.76999999999</v>
      </c>
      <c r="E231" s="709">
        <v>-587969.97</v>
      </c>
      <c r="F231" s="708" t="s">
        <v>2006</v>
      </c>
      <c r="G231" s="708" t="s">
        <v>2876</v>
      </c>
      <c r="H231" s="709" t="s">
        <v>2997</v>
      </c>
      <c r="I231" s="710"/>
      <c r="J231" s="710"/>
      <c r="K231" s="710"/>
      <c r="L231" s="149" t="str">
        <f t="shared" si="15"/>
        <v>409</v>
      </c>
      <c r="M231" s="150" t="str">
        <f t="shared" si="16"/>
        <v>X2 XDRIVE28I</v>
      </c>
      <c r="N231" s="151">
        <f>+IF(OR($Q231=Parametres!$G$2,$Q231=Parametres!$G$3),I231,C231)</f>
        <v>-453041.2</v>
      </c>
      <c r="O231" s="151">
        <f>+IF(OR($Q231=Parametres!$G$2,$Q231=Parametres!$G$3),J231,D231)</f>
        <v>-134928.76999999999</v>
      </c>
      <c r="P231" s="151">
        <f>+IF(OR($Q231=Parametres!$G$2,$Q231=Parametres!$G$3),K231,E231)</f>
        <v>-587969.97</v>
      </c>
      <c r="Q231" s="150" t="str">
        <f t="shared" si="17"/>
        <v>5-Ventes</v>
      </c>
      <c r="R231" s="149" t="str">
        <f t="shared" si="18"/>
        <v>409</v>
      </c>
      <c r="S231" s="150" t="str">
        <f t="shared" si="19"/>
        <v>_</v>
      </c>
      <c r="T231" s="152" t="str">
        <f>+VLOOKUP($L231,Data_Validation!$A:$D,1,0)</f>
        <v>409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08" t="s">
        <v>1978</v>
      </c>
      <c r="B232" s="708" t="s">
        <v>1979</v>
      </c>
      <c r="C232" s="710">
        <v>-407303.59</v>
      </c>
      <c r="D232" s="710">
        <v>0</v>
      </c>
      <c r="E232" s="710">
        <v>-407303.59</v>
      </c>
      <c r="F232" s="708" t="s">
        <v>2006</v>
      </c>
      <c r="G232" s="708" t="s">
        <v>1979</v>
      </c>
      <c r="H232" s="664" t="s">
        <v>2997</v>
      </c>
      <c r="I232" s="663"/>
      <c r="J232" s="663"/>
      <c r="K232" s="663"/>
      <c r="L232" s="149" t="str">
        <f t="shared" si="15"/>
        <v>412C</v>
      </c>
      <c r="M232" s="150" t="str">
        <f t="shared" si="16"/>
        <v>M340I XDRIVE</v>
      </c>
      <c r="N232" s="151">
        <f>+IF(OR($Q232=Parametres!$G$2,$Q232=Parametres!$G$3),I232,C232)</f>
        <v>-407303.59</v>
      </c>
      <c r="O232" s="151">
        <f>+IF(OR($Q232=Parametres!$G$2,$Q232=Parametres!$G$3),J232,D232)</f>
        <v>0</v>
      </c>
      <c r="P232" s="151">
        <f>+IF(OR($Q232=Parametres!$G$2,$Q232=Parametres!$G$3),K232,E232)</f>
        <v>-407303.59</v>
      </c>
      <c r="Q232" s="150" t="str">
        <f t="shared" si="17"/>
        <v>5-Ventes</v>
      </c>
      <c r="R232" s="149" t="str">
        <f t="shared" si="18"/>
        <v>412C</v>
      </c>
      <c r="S232" s="150" t="str">
        <f t="shared" si="19"/>
        <v>_</v>
      </c>
      <c r="T232" s="152" t="str">
        <f>+VLOOKUP($L232,Data_Validation!$A:$D,1,0)</f>
        <v>412C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08" t="s">
        <v>2864</v>
      </c>
      <c r="B233" s="708" t="s">
        <v>2865</v>
      </c>
      <c r="C233" s="710">
        <v>-369837.49</v>
      </c>
      <c r="D233" s="710">
        <v>0</v>
      </c>
      <c r="E233" s="710">
        <v>-369837.49</v>
      </c>
      <c r="F233" s="708" t="s">
        <v>2006</v>
      </c>
      <c r="G233" s="708" t="s">
        <v>2865</v>
      </c>
      <c r="H233" s="664" t="s">
        <v>2997</v>
      </c>
      <c r="I233" s="663"/>
      <c r="J233" s="663"/>
      <c r="K233" s="663"/>
      <c r="L233" s="149" t="str">
        <f t="shared" si="15"/>
        <v>409A</v>
      </c>
      <c r="M233" s="150" t="str">
        <f t="shared" si="16"/>
        <v>X2 M35I XDRIVE</v>
      </c>
      <c r="N233" s="151">
        <f>+IF(OR($Q233=Parametres!$G$2,$Q233=Parametres!$G$3),I233,C233)</f>
        <v>-369837.49</v>
      </c>
      <c r="O233" s="151">
        <f>+IF(OR($Q233=Parametres!$G$2,$Q233=Parametres!$G$3),J233,D233)</f>
        <v>0</v>
      </c>
      <c r="P233" s="151">
        <f>+IF(OR($Q233=Parametres!$G$2,$Q233=Parametres!$G$3),K233,E233)</f>
        <v>-369837.49</v>
      </c>
      <c r="Q233" s="150" t="str">
        <f t="shared" si="17"/>
        <v>5-Ventes</v>
      </c>
      <c r="R233" s="149" t="str">
        <f t="shared" si="18"/>
        <v>409A</v>
      </c>
      <c r="S233" s="150" t="str">
        <f t="shared" si="19"/>
        <v>_</v>
      </c>
      <c r="T233" s="152" t="str">
        <f>+VLOOKUP($L233,Data_Validation!$A:$D,1,0)</f>
        <v>409A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08" t="s">
        <v>2344</v>
      </c>
      <c r="B234" s="708" t="s">
        <v>2345</v>
      </c>
      <c r="C234" s="709">
        <v>-356288.54</v>
      </c>
      <c r="D234" s="709">
        <v>0</v>
      </c>
      <c r="E234" s="709">
        <v>-356288.54</v>
      </c>
      <c r="F234" s="708" t="s">
        <v>2006</v>
      </c>
      <c r="G234" s="708" t="s">
        <v>2345</v>
      </c>
      <c r="H234" s="709" t="s">
        <v>2997</v>
      </c>
      <c r="I234" s="710"/>
      <c r="J234" s="710"/>
      <c r="K234" s="710"/>
      <c r="L234" s="149" t="str">
        <f t="shared" si="15"/>
        <v>404I</v>
      </c>
      <c r="M234" s="150" t="str">
        <f t="shared" si="16"/>
        <v>VTES -i4 eDRIVE40 GRAN COUPE</v>
      </c>
      <c r="N234" s="151">
        <f>+IF(OR($Q234=Parametres!$G$2,$Q234=Parametres!$G$3),I234,C234)</f>
        <v>-356288.54</v>
      </c>
      <c r="O234" s="151">
        <f>+IF(OR($Q234=Parametres!$G$2,$Q234=Parametres!$G$3),J234,D234)</f>
        <v>0</v>
      </c>
      <c r="P234" s="151">
        <f>+IF(OR($Q234=Parametres!$G$2,$Q234=Parametres!$G$3),K234,E234)</f>
        <v>-356288.54</v>
      </c>
      <c r="Q234" s="150" t="str">
        <f t="shared" si="17"/>
        <v>5-Ventes</v>
      </c>
      <c r="R234" s="149" t="str">
        <f t="shared" si="18"/>
        <v>404I</v>
      </c>
      <c r="S234" s="150" t="str">
        <f t="shared" si="19"/>
        <v>_</v>
      </c>
      <c r="T234" s="152" t="str">
        <f>+VLOOKUP($L234,Data_Validation!$A:$D,1,0)</f>
        <v>404I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2029</v>
      </c>
      <c r="B235" s="708" t="s">
        <v>2030</v>
      </c>
      <c r="C235" s="710">
        <v>-348814.79</v>
      </c>
      <c r="D235" s="710">
        <v>-114288.5</v>
      </c>
      <c r="E235" s="710">
        <v>-463103.29</v>
      </c>
      <c r="F235" s="708" t="s">
        <v>2006</v>
      </c>
      <c r="G235" s="708" t="s">
        <v>2030</v>
      </c>
      <c r="H235" s="664" t="s">
        <v>2997</v>
      </c>
      <c r="I235" s="663"/>
      <c r="J235" s="663"/>
      <c r="K235" s="663"/>
      <c r="L235" s="149" t="str">
        <f t="shared" si="15"/>
        <v>407C</v>
      </c>
      <c r="M235" s="150" t="str">
        <f t="shared" si="16"/>
        <v>VTES -M3 COMPETITION</v>
      </c>
      <c r="N235" s="151">
        <f>+IF(OR($Q235=Parametres!$G$2,$Q235=Parametres!$G$3),I235,C235)</f>
        <v>-348814.79</v>
      </c>
      <c r="O235" s="151">
        <f>+IF(OR($Q235=Parametres!$G$2,$Q235=Parametres!$G$3),J235,D235)</f>
        <v>-114288.5</v>
      </c>
      <c r="P235" s="151">
        <f>+IF(OR($Q235=Parametres!$G$2,$Q235=Parametres!$G$3),K235,E235)</f>
        <v>-463103.29</v>
      </c>
      <c r="Q235" s="150" t="str">
        <f t="shared" si="17"/>
        <v>5-Ventes</v>
      </c>
      <c r="R235" s="149" t="str">
        <f t="shared" si="18"/>
        <v>407C</v>
      </c>
      <c r="S235" s="150" t="str">
        <f t="shared" si="19"/>
        <v>_</v>
      </c>
      <c r="T235" s="152" t="str">
        <f>+VLOOKUP($L235,Data_Validation!$A:$D,1,0)</f>
        <v>407C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1129</v>
      </c>
      <c r="B236" s="708" t="s">
        <v>415</v>
      </c>
      <c r="C236" s="710">
        <v>-331873.19</v>
      </c>
      <c r="D236" s="710">
        <v>-61265.01</v>
      </c>
      <c r="E236" s="710">
        <v>-393138.2</v>
      </c>
      <c r="F236" s="708" t="s">
        <v>2006</v>
      </c>
      <c r="G236" s="708" t="s">
        <v>1116</v>
      </c>
      <c r="H236" s="664" t="s">
        <v>2997</v>
      </c>
      <c r="I236" s="663"/>
      <c r="J236" s="663"/>
      <c r="K236" s="663"/>
      <c r="L236" s="149" t="str">
        <f t="shared" si="15"/>
        <v>460B</v>
      </c>
      <c r="M236" s="150" t="str">
        <f t="shared" si="16"/>
        <v>VTE - M/O CLIENT BMW CAMION</v>
      </c>
      <c r="N236" s="151">
        <f>+IF(OR($Q236=Parametres!$G$2,$Q236=Parametres!$G$3),I236,C236)</f>
        <v>-331873.19</v>
      </c>
      <c r="O236" s="151">
        <f>+IF(OR($Q236=Parametres!$G$2,$Q236=Parametres!$G$3),J236,D236)</f>
        <v>-61265.01</v>
      </c>
      <c r="P236" s="151">
        <f>+IF(OR($Q236=Parametres!$G$2,$Q236=Parametres!$G$3),K236,E236)</f>
        <v>-393138.2</v>
      </c>
      <c r="Q236" s="150" t="str">
        <f t="shared" si="17"/>
        <v>5-Ventes</v>
      </c>
      <c r="R236" s="149" t="str">
        <f t="shared" si="18"/>
        <v>460A</v>
      </c>
      <c r="S236" s="150" t="str">
        <f t="shared" si="19"/>
        <v>_</v>
      </c>
      <c r="T236" s="152" t="str">
        <f>+VLOOKUP($L236,Data_Validation!$A:$D,1,0)</f>
        <v>460B</v>
      </c>
      <c r="U236" s="152" t="str">
        <f>+VLOOKUP($L236,Data_Validation!$A:$D,3,0)</f>
        <v>service</v>
      </c>
      <c r="V236" s="152" t="str">
        <f>+VLOOKUP($L236,Data_Validation!$A:$D,4,0)</f>
        <v>M/O Client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1135</v>
      </c>
      <c r="B237" s="708" t="s">
        <v>429</v>
      </c>
      <c r="C237" s="710">
        <v>-330287.71999999997</v>
      </c>
      <c r="D237" s="710">
        <v>-41062.75</v>
      </c>
      <c r="E237" s="710">
        <v>-371350.47</v>
      </c>
      <c r="F237" s="708" t="s">
        <v>2006</v>
      </c>
      <c r="G237" s="708" t="s">
        <v>1120</v>
      </c>
      <c r="H237" s="657" t="s">
        <v>2997</v>
      </c>
      <c r="I237" s="656"/>
      <c r="J237" s="656"/>
      <c r="K237" s="656"/>
      <c r="L237" s="149" t="str">
        <f t="shared" si="15"/>
        <v>470B</v>
      </c>
      <c r="M237" s="150" t="str">
        <f t="shared" si="16"/>
        <v>VTE - PIECES BT CLIENT BMW CAMION</v>
      </c>
      <c r="N237" s="151">
        <f>+IF(OR($Q237=Parametres!$G$2,$Q237=Parametres!$G$3),I237,C237)</f>
        <v>-330287.71999999997</v>
      </c>
      <c r="O237" s="151">
        <f>+IF(OR($Q237=Parametres!$G$2,$Q237=Parametres!$G$3),J237,D237)</f>
        <v>-41062.75</v>
      </c>
      <c r="P237" s="151">
        <f>+IF(OR($Q237=Parametres!$G$2,$Q237=Parametres!$G$3),K237,E237)</f>
        <v>-371350.47</v>
      </c>
      <c r="Q237" s="150" t="str">
        <f t="shared" si="17"/>
        <v>5-Ventes</v>
      </c>
      <c r="R237" s="149" t="str">
        <f t="shared" si="18"/>
        <v>470A</v>
      </c>
      <c r="S237" s="150" t="str">
        <f t="shared" si="19"/>
        <v>_</v>
      </c>
      <c r="T237" s="152" t="str">
        <f>+VLOOKUP($L237,Data_Validation!$A:$D,1,0)</f>
        <v>470B</v>
      </c>
      <c r="U237" s="152" t="str">
        <f>+VLOOKUP($L237,Data_Validation!$A:$D,3,0)</f>
        <v>Pièces</v>
      </c>
      <c r="V237" s="152" t="str">
        <f>+VLOOKUP($L237,Data_Validation!$A:$D,4,0)</f>
        <v>Pièces Ro Clients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628</v>
      </c>
      <c r="B238" s="708" t="s">
        <v>629</v>
      </c>
      <c r="C238" s="710">
        <v>-328982.09999999998</v>
      </c>
      <c r="D238" s="710">
        <v>0</v>
      </c>
      <c r="E238" s="710">
        <v>-328982.09999999998</v>
      </c>
      <c r="F238" s="708" t="s">
        <v>2006</v>
      </c>
      <c r="G238" s="708" t="s">
        <v>629</v>
      </c>
      <c r="H238" s="664" t="s">
        <v>2997</v>
      </c>
      <c r="I238" s="663"/>
      <c r="J238" s="663"/>
      <c r="K238" s="663"/>
      <c r="L238" s="149" t="str">
        <f t="shared" si="15"/>
        <v>447</v>
      </c>
      <c r="M238" s="150" t="str">
        <f t="shared" si="16"/>
        <v>VTE - X5 M</v>
      </c>
      <c r="N238" s="151">
        <f>+IF(OR($Q238=Parametres!$G$2,$Q238=Parametres!$G$3),I238,C238)</f>
        <v>-328982.09999999998</v>
      </c>
      <c r="O238" s="151">
        <f>+IF(OR($Q238=Parametres!$G$2,$Q238=Parametres!$G$3),J238,D238)</f>
        <v>0</v>
      </c>
      <c r="P238" s="151">
        <f>+IF(OR($Q238=Parametres!$G$2,$Q238=Parametres!$G$3),K238,E238)</f>
        <v>-328982.09999999998</v>
      </c>
      <c r="Q238" s="150" t="str">
        <f t="shared" si="17"/>
        <v>5-Ventes</v>
      </c>
      <c r="R238" s="149" t="str">
        <f t="shared" si="18"/>
        <v>447</v>
      </c>
      <c r="S238" s="150" t="str">
        <f t="shared" si="19"/>
        <v>_</v>
      </c>
      <c r="T238" s="152" t="str">
        <f>+VLOOKUP($L238,Data_Validation!$A:$D,1,0)</f>
        <v>447</v>
      </c>
      <c r="U238" s="152" t="str">
        <f>+VLOOKUP($L238,Data_Validation!$A:$D,3,0)</f>
        <v>Véhicules neufs</v>
      </c>
      <c r="V238" s="152" t="str">
        <f>+VLOOKUP($L238,Data_Validation!$A:$D,4,0)</f>
        <v>Camions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2340</v>
      </c>
      <c r="B239" s="708" t="s">
        <v>2341</v>
      </c>
      <c r="C239" s="710">
        <v>-302879.93</v>
      </c>
      <c r="D239" s="710">
        <v>0</v>
      </c>
      <c r="E239" s="710">
        <v>-302879.93</v>
      </c>
      <c r="F239" s="708" t="s">
        <v>2006</v>
      </c>
      <c r="G239" s="708" t="s">
        <v>2341</v>
      </c>
      <c r="H239" s="664" t="s">
        <v>2997</v>
      </c>
      <c r="I239" s="663"/>
      <c r="J239" s="663"/>
      <c r="K239" s="663"/>
      <c r="L239" s="149" t="str">
        <f t="shared" si="15"/>
        <v>402B</v>
      </c>
      <c r="M239" s="150" t="str">
        <f t="shared" si="16"/>
        <v>VTES -VTE - IX XDRIVE 50</v>
      </c>
      <c r="N239" s="151">
        <f>+IF(OR($Q239=Parametres!$G$2,$Q239=Parametres!$G$3),I239,C239)</f>
        <v>-302879.93</v>
      </c>
      <c r="O239" s="151">
        <f>+IF(OR($Q239=Parametres!$G$2,$Q239=Parametres!$G$3),J239,D239)</f>
        <v>0</v>
      </c>
      <c r="P239" s="151">
        <f>+IF(OR($Q239=Parametres!$G$2,$Q239=Parametres!$G$3),K239,E239)</f>
        <v>-302879.93</v>
      </c>
      <c r="Q239" s="150" t="str">
        <f t="shared" si="17"/>
        <v>5-Ventes</v>
      </c>
      <c r="R239" s="149" t="str">
        <f t="shared" si="18"/>
        <v>402B</v>
      </c>
      <c r="S239" s="150" t="str">
        <f t="shared" si="19"/>
        <v>_</v>
      </c>
      <c r="T239" s="152" t="str">
        <f>+VLOOKUP($L239,Data_Validation!$A:$D,1,0)</f>
        <v>402B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1099</v>
      </c>
      <c r="B240" s="708" t="s">
        <v>465</v>
      </c>
      <c r="C240" s="709">
        <v>-300073.67</v>
      </c>
      <c r="D240" s="709">
        <v>-21550.959999999999</v>
      </c>
      <c r="E240" s="709">
        <v>-321624.63</v>
      </c>
      <c r="F240" s="708" t="s">
        <v>2006</v>
      </c>
      <c r="G240" s="708" t="s">
        <v>1096</v>
      </c>
      <c r="H240" s="709" t="s">
        <v>2997</v>
      </c>
      <c r="I240" s="710"/>
      <c r="J240" s="710"/>
      <c r="K240" s="710"/>
      <c r="L240" s="149" t="str">
        <f t="shared" si="15"/>
        <v>472B</v>
      </c>
      <c r="M240" s="150" t="str">
        <f t="shared" si="16"/>
        <v>VTE - PIECES GARANTIE BMW CAMION</v>
      </c>
      <c r="N240" s="151">
        <f>+IF(OR($Q240=Parametres!$G$2,$Q240=Parametres!$G$3),I240,C240)</f>
        <v>-300073.67</v>
      </c>
      <c r="O240" s="151">
        <f>+IF(OR($Q240=Parametres!$G$2,$Q240=Parametres!$G$3),J240,D240)</f>
        <v>-21550.959999999999</v>
      </c>
      <c r="P240" s="151">
        <f>+IF(OR($Q240=Parametres!$G$2,$Q240=Parametres!$G$3),K240,E240)</f>
        <v>-321624.63</v>
      </c>
      <c r="Q240" s="150" t="str">
        <f t="shared" si="17"/>
        <v>5-Ventes</v>
      </c>
      <c r="R240" s="149" t="str">
        <f t="shared" si="18"/>
        <v>472A</v>
      </c>
      <c r="S240" s="150" t="str">
        <f t="shared" si="19"/>
        <v>_</v>
      </c>
      <c r="T240" s="152" t="str">
        <f>+VLOOKUP($L240,Data_Validation!$A:$D,1,0)</f>
        <v>472B</v>
      </c>
      <c r="U240" s="152" t="str">
        <f>+VLOOKUP($L240,Data_Validation!$A:$D,3,0)</f>
        <v>pièces</v>
      </c>
      <c r="V240" s="152" t="str">
        <f>+VLOOKUP($L240,Data_Validation!$A:$D,4,0)</f>
        <v>P/A Garantie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2526</v>
      </c>
      <c r="B241" s="708" t="s">
        <v>2527</v>
      </c>
      <c r="C241" s="709">
        <v>-292202.71000000002</v>
      </c>
      <c r="D241" s="709">
        <v>-73016.820000000007</v>
      </c>
      <c r="E241" s="709">
        <v>-365219.53</v>
      </c>
      <c r="F241" s="708" t="s">
        <v>2006</v>
      </c>
      <c r="G241" s="708" t="s">
        <v>2527</v>
      </c>
      <c r="H241" s="709" t="s">
        <v>2997</v>
      </c>
      <c r="I241" s="710"/>
      <c r="J241" s="710"/>
      <c r="K241" s="710"/>
      <c r="L241" s="149" t="str">
        <f t="shared" si="15"/>
        <v>416A</v>
      </c>
      <c r="M241" s="150" t="str">
        <f t="shared" si="16"/>
        <v>VTES -VTE - X1 M35i xDRIVE</v>
      </c>
      <c r="N241" s="151">
        <f>+IF(OR($Q241=Parametres!$G$2,$Q241=Parametres!$G$3),I241,C241)</f>
        <v>-292202.71000000002</v>
      </c>
      <c r="O241" s="151">
        <f>+IF(OR($Q241=Parametres!$G$2,$Q241=Parametres!$G$3),J241,D241)</f>
        <v>-73016.820000000007</v>
      </c>
      <c r="P241" s="151">
        <f>+IF(OR($Q241=Parametres!$G$2,$Q241=Parametres!$G$3),K241,E241)</f>
        <v>-365219.53</v>
      </c>
      <c r="Q241" s="150" t="str">
        <f t="shared" si="17"/>
        <v>5-Ventes</v>
      </c>
      <c r="R241" s="149" t="str">
        <f t="shared" si="18"/>
        <v>416A</v>
      </c>
      <c r="S241" s="150" t="str">
        <f t="shared" si="19"/>
        <v>_</v>
      </c>
      <c r="T241" s="152" t="str">
        <f>+VLOOKUP($L241,Data_Validation!$A:$D,1,0)</f>
        <v>416A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632</v>
      </c>
      <c r="B242" s="662" t="s">
        <v>633</v>
      </c>
      <c r="C242" s="663">
        <v>-288895.5</v>
      </c>
      <c r="D242" s="663">
        <v>0</v>
      </c>
      <c r="E242" s="663">
        <v>-288895.5</v>
      </c>
      <c r="F242" s="662" t="s">
        <v>2006</v>
      </c>
      <c r="G242" s="662" t="s">
        <v>633</v>
      </c>
      <c r="H242" s="657" t="s">
        <v>2997</v>
      </c>
      <c r="I242" s="656"/>
      <c r="J242" s="656"/>
      <c r="K242" s="656"/>
      <c r="L242" s="149" t="str">
        <f t="shared" si="15"/>
        <v>452B</v>
      </c>
      <c r="M242" s="150" t="str">
        <f t="shared" si="16"/>
        <v>VTES -VTES - Z4 M40I</v>
      </c>
      <c r="N242" s="151">
        <f>+IF(OR($Q242=Parametres!$G$2,$Q242=Parametres!$G$3),I242,C242)</f>
        <v>-288895.5</v>
      </c>
      <c r="O242" s="151">
        <f>+IF(OR($Q242=Parametres!$G$2,$Q242=Parametres!$G$3),J242,D242)</f>
        <v>0</v>
      </c>
      <c r="P242" s="151">
        <f>+IF(OR($Q242=Parametres!$G$2,$Q242=Parametres!$G$3),K242,E242)</f>
        <v>-288895.5</v>
      </c>
      <c r="Q242" s="150" t="str">
        <f t="shared" si="17"/>
        <v>5-Ventes</v>
      </c>
      <c r="R242" s="149" t="str">
        <f t="shared" si="18"/>
        <v>452B</v>
      </c>
      <c r="S242" s="150" t="str">
        <f t="shared" si="19"/>
        <v>_</v>
      </c>
      <c r="T242" s="152" t="str">
        <f>+VLOOKUP($L242,Data_Validation!$A:$D,1,0)</f>
        <v>452B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1115</v>
      </c>
      <c r="B243" s="662" t="s">
        <v>1116</v>
      </c>
      <c r="C243" s="663">
        <v>-274888.39</v>
      </c>
      <c r="D243" s="663">
        <v>-35186.17</v>
      </c>
      <c r="E243" s="663">
        <v>-310074.56</v>
      </c>
      <c r="F243" s="662" t="s">
        <v>2006</v>
      </c>
      <c r="G243" s="662" t="s">
        <v>1116</v>
      </c>
      <c r="H243" s="657" t="s">
        <v>2997</v>
      </c>
      <c r="I243" s="656"/>
      <c r="J243" s="656"/>
      <c r="K243" s="656"/>
      <c r="L243" s="149" t="str">
        <f t="shared" si="15"/>
        <v>460A</v>
      </c>
      <c r="M243" s="150" t="str">
        <f t="shared" si="16"/>
        <v>VTE - M/O CLIENT BMW AUTO</v>
      </c>
      <c r="N243" s="151">
        <f>+IF(OR($Q243=Parametres!$G$2,$Q243=Parametres!$G$3),I243,C243)</f>
        <v>-274888.39</v>
      </c>
      <c r="O243" s="151">
        <f>+IF(OR($Q243=Parametres!$G$2,$Q243=Parametres!$G$3),J243,D243)</f>
        <v>-35186.17</v>
      </c>
      <c r="P243" s="151">
        <f>+IF(OR($Q243=Parametres!$G$2,$Q243=Parametres!$G$3),K243,E243)</f>
        <v>-310074.56</v>
      </c>
      <c r="Q243" s="150" t="str">
        <f t="shared" si="17"/>
        <v>5-Ventes</v>
      </c>
      <c r="R243" s="149" t="str">
        <f t="shared" si="18"/>
        <v>460A</v>
      </c>
      <c r="S243" s="150" t="str">
        <f t="shared" si="19"/>
        <v>_</v>
      </c>
      <c r="T243" s="152" t="str">
        <f>+VLOOKUP($L243,Data_Validation!$A:$D,1,0)</f>
        <v>460A</v>
      </c>
      <c r="U243" s="152" t="str">
        <f>+VLOOKUP($L243,Data_Validation!$A:$D,3,0)</f>
        <v>service</v>
      </c>
      <c r="V243" s="152" t="str">
        <f>+VLOOKUP($L243,Data_Validation!$A:$D,4,0)</f>
        <v>M/O Client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1089</v>
      </c>
      <c r="B244" s="662" t="s">
        <v>612</v>
      </c>
      <c r="C244" s="663">
        <v>-267866.73</v>
      </c>
      <c r="D244" s="663">
        <v>0</v>
      </c>
      <c r="E244" s="663">
        <v>-267866.73</v>
      </c>
      <c r="F244" s="662" t="s">
        <v>2006</v>
      </c>
      <c r="G244" s="662" t="s">
        <v>612</v>
      </c>
      <c r="H244" s="657" t="s">
        <v>2997</v>
      </c>
      <c r="I244" s="656"/>
      <c r="J244" s="656"/>
      <c r="K244" s="656"/>
      <c r="L244" s="149" t="str">
        <f t="shared" si="15"/>
        <v>411C</v>
      </c>
      <c r="M244" s="150" t="str">
        <f t="shared" si="16"/>
        <v>VTES -VTE - 330I XDRIVE SEDAN</v>
      </c>
      <c r="N244" s="151">
        <f>+IF(OR($Q244=Parametres!$G$2,$Q244=Parametres!$G$3),I244,C244)</f>
        <v>-267866.73</v>
      </c>
      <c r="O244" s="151">
        <f>+IF(OR($Q244=Parametres!$G$2,$Q244=Parametres!$G$3),J244,D244)</f>
        <v>0</v>
      </c>
      <c r="P244" s="151">
        <f>+IF(OR($Q244=Parametres!$G$2,$Q244=Parametres!$G$3),K244,E244)</f>
        <v>-267866.73</v>
      </c>
      <c r="Q244" s="150" t="str">
        <f t="shared" si="17"/>
        <v>5-Ventes</v>
      </c>
      <c r="R244" s="149" t="str">
        <f t="shared" si="18"/>
        <v>411C</v>
      </c>
      <c r="S244" s="150" t="str">
        <f t="shared" si="19"/>
        <v>_</v>
      </c>
      <c r="T244" s="152" t="str">
        <f>+VLOOKUP($L244,Data_Validation!$A:$D,1,0)</f>
        <v>411C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2361</v>
      </c>
      <c r="B245" s="662" t="s">
        <v>2362</v>
      </c>
      <c r="C245" s="663">
        <v>-266746</v>
      </c>
      <c r="D245" s="663">
        <v>0</v>
      </c>
      <c r="E245" s="663">
        <v>-266746</v>
      </c>
      <c r="F245" s="662" t="s">
        <v>2006</v>
      </c>
      <c r="G245" s="662" t="s">
        <v>2362</v>
      </c>
      <c r="H245" s="657" t="s">
        <v>2997</v>
      </c>
      <c r="I245" s="656"/>
      <c r="J245" s="656"/>
      <c r="K245" s="656"/>
      <c r="L245" s="149" t="str">
        <f t="shared" si="15"/>
        <v>405H</v>
      </c>
      <c r="M245" s="150" t="str">
        <f t="shared" si="16"/>
        <v>VTES -M4 COMPETITION CABRIOLET XDRIVE</v>
      </c>
      <c r="N245" s="151">
        <f>+IF(OR($Q245=Parametres!$G$2,$Q245=Parametres!$G$3),I245,C245)</f>
        <v>-266746</v>
      </c>
      <c r="O245" s="151">
        <f>+IF(OR($Q245=Parametres!$G$2,$Q245=Parametres!$G$3),J245,D245)</f>
        <v>0</v>
      </c>
      <c r="P245" s="151">
        <f>+IF(OR($Q245=Parametres!$G$2,$Q245=Parametres!$G$3),K245,E245)</f>
        <v>-266746</v>
      </c>
      <c r="Q245" s="150" t="str">
        <f t="shared" si="17"/>
        <v>5-Ventes</v>
      </c>
      <c r="R245" s="149" t="str">
        <f t="shared" si="18"/>
        <v>405H</v>
      </c>
      <c r="S245" s="150" t="str">
        <f t="shared" si="19"/>
        <v>_</v>
      </c>
      <c r="T245" s="152" t="str">
        <f>+VLOOKUP($L245,Data_Validation!$A:$D,1,0)</f>
        <v>405H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2902</v>
      </c>
      <c r="B246" s="662" t="s">
        <v>2903</v>
      </c>
      <c r="C246" s="663">
        <v>-242054</v>
      </c>
      <c r="D246" s="663">
        <v>0</v>
      </c>
      <c r="E246" s="663">
        <v>-242054</v>
      </c>
      <c r="F246" s="662" t="s">
        <v>2006</v>
      </c>
      <c r="G246" s="662" t="s">
        <v>2903</v>
      </c>
      <c r="H246" s="657" t="s">
        <v>2997</v>
      </c>
      <c r="I246" s="656"/>
      <c r="J246" s="656"/>
      <c r="K246" s="656"/>
      <c r="L246" s="149" t="str">
        <f t="shared" si="15"/>
        <v>404J</v>
      </c>
      <c r="M246" s="150" t="str">
        <f t="shared" si="16"/>
        <v>VTES -VTE - i4 xDRIVE40</v>
      </c>
      <c r="N246" s="151">
        <f>+IF(OR($Q246=Parametres!$G$2,$Q246=Parametres!$G$3),I246,C246)</f>
        <v>-242054</v>
      </c>
      <c r="O246" s="151">
        <f>+IF(OR($Q246=Parametres!$G$2,$Q246=Parametres!$G$3),J246,D246)</f>
        <v>0</v>
      </c>
      <c r="P246" s="151">
        <f>+IF(OR($Q246=Parametres!$G$2,$Q246=Parametres!$G$3),K246,E246)</f>
        <v>-242054</v>
      </c>
      <c r="Q246" s="150" t="str">
        <f t="shared" si="17"/>
        <v>5-Ventes</v>
      </c>
      <c r="R246" s="149" t="str">
        <f t="shared" si="18"/>
        <v>404J</v>
      </c>
      <c r="S246" s="150" t="str">
        <f t="shared" si="19"/>
        <v>_</v>
      </c>
      <c r="T246" s="152" t="str">
        <f>+VLOOKUP($L246,Data_Validation!$A:$D,1,0)</f>
        <v>404J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1164</v>
      </c>
      <c r="B247" s="662" t="s">
        <v>1165</v>
      </c>
      <c r="C247" s="663">
        <v>-240215</v>
      </c>
      <c r="D247" s="663">
        <v>-14576</v>
      </c>
      <c r="E247" s="663">
        <v>-254791</v>
      </c>
      <c r="F247" s="662" t="s">
        <v>2006</v>
      </c>
      <c r="G247" s="662" t="s">
        <v>625</v>
      </c>
      <c r="H247" s="657" t="s">
        <v>2997</v>
      </c>
      <c r="I247" s="656"/>
      <c r="J247" s="656"/>
      <c r="K247" s="656"/>
      <c r="L247" s="149" t="str">
        <f t="shared" si="15"/>
        <v>430E</v>
      </c>
      <c r="M247" s="150" t="str">
        <f t="shared" si="16"/>
        <v>VTE - PROTEC ESTHETIQUE NEUF BMW AUTO</v>
      </c>
      <c r="N247" s="151">
        <f>+IF(OR($Q247=Parametres!$G$2,$Q247=Parametres!$G$3),I247,C247)</f>
        <v>-240215</v>
      </c>
      <c r="O247" s="151">
        <f>+IF(OR($Q247=Parametres!$G$2,$Q247=Parametres!$G$3),J247,D247)</f>
        <v>-14576</v>
      </c>
      <c r="P247" s="151">
        <f>+IF(OR($Q247=Parametres!$G$2,$Q247=Parametres!$G$3),K247,E247)</f>
        <v>-254791</v>
      </c>
      <c r="Q247" s="150" t="str">
        <f t="shared" si="17"/>
        <v>5-Ventes</v>
      </c>
      <c r="R247" s="149" t="str">
        <f t="shared" si="18"/>
        <v>430</v>
      </c>
      <c r="S247" s="150" t="str">
        <f t="shared" si="19"/>
        <v>_</v>
      </c>
      <c r="T247" s="152" t="str">
        <f>+VLOOKUP($L247,Data_Validation!$A:$D,1,0)</f>
        <v>430E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1140</v>
      </c>
      <c r="B248" s="708" t="s">
        <v>1139</v>
      </c>
      <c r="C248" s="710">
        <v>-238737.58</v>
      </c>
      <c r="D248" s="710">
        <v>-17560.38</v>
      </c>
      <c r="E248" s="710">
        <v>-256297.96</v>
      </c>
      <c r="F248" s="708" t="s">
        <v>2006</v>
      </c>
      <c r="G248" s="708" t="s">
        <v>1139</v>
      </c>
      <c r="H248" s="664" t="s">
        <v>2997</v>
      </c>
      <c r="I248" s="663"/>
      <c r="J248" s="663"/>
      <c r="K248" s="663"/>
      <c r="L248" s="149" t="str">
        <f t="shared" si="15"/>
        <v>462A</v>
      </c>
      <c r="M248" s="150" t="str">
        <f t="shared" si="16"/>
        <v>VTE - M/O INTERNE BMW AUTO</v>
      </c>
      <c r="N248" s="151">
        <f>+IF(OR($Q248=Parametres!$G$2,$Q248=Parametres!$G$3),I248,C248)</f>
        <v>-238737.58</v>
      </c>
      <c r="O248" s="497">
        <f>+IF(OR($Q248=Parametres!$G$2,$Q248=Parametres!$G$3),J248,D248)</f>
        <v>-17560.38</v>
      </c>
      <c r="P248" s="151">
        <f>+IF(OR($Q248=Parametres!$G$2,$Q248=Parametres!$G$3),K248,E248)</f>
        <v>-256297.96</v>
      </c>
      <c r="Q248" s="150" t="str">
        <f t="shared" si="17"/>
        <v>5-Ventes</v>
      </c>
      <c r="R248" s="149" t="str">
        <f t="shared" si="18"/>
        <v>462A</v>
      </c>
      <c r="S248" s="150" t="str">
        <f t="shared" si="19"/>
        <v>_</v>
      </c>
      <c r="T248" s="152" t="str">
        <f>+VLOOKUP($L248,Data_Validation!$A:$D,1,0)</f>
        <v>462A</v>
      </c>
      <c r="U248" s="152" t="str">
        <f>+VLOOKUP($L248,Data_Validation!$A:$D,3,0)</f>
        <v>service</v>
      </c>
      <c r="V248" s="152" t="str">
        <f>+VLOOKUP($L248,Data_Validation!$A:$D,4,0)</f>
        <v>M/O Interne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2143</v>
      </c>
      <c r="B249" s="708" t="s">
        <v>2144</v>
      </c>
      <c r="C249" s="710">
        <v>-236957.89</v>
      </c>
      <c r="D249" s="710">
        <v>0</v>
      </c>
      <c r="E249" s="710">
        <v>-236957.89</v>
      </c>
      <c r="F249" s="708" t="s">
        <v>2006</v>
      </c>
      <c r="G249" s="708" t="s">
        <v>2144</v>
      </c>
      <c r="H249" s="664" t="s">
        <v>2997</v>
      </c>
      <c r="I249" s="663"/>
      <c r="J249" s="663"/>
      <c r="K249" s="663"/>
      <c r="L249" s="149" t="str">
        <f t="shared" si="15"/>
        <v>405J</v>
      </c>
      <c r="M249" s="150" t="str">
        <f t="shared" si="16"/>
        <v>VTES -M4 COMPETITION</v>
      </c>
      <c r="N249" s="151">
        <f>+IF(OR($Q249=Parametres!$G$2,$Q249=Parametres!$G$3),I249,C249)</f>
        <v>-236957.89</v>
      </c>
      <c r="O249" s="151">
        <f>+IF(OR($Q249=Parametres!$G$2,$Q249=Parametres!$G$3),J249,D249)</f>
        <v>0</v>
      </c>
      <c r="P249" s="151">
        <f>+IF(OR($Q249=Parametres!$G$2,$Q249=Parametres!$G$3),K249,E249)</f>
        <v>-236957.89</v>
      </c>
      <c r="Q249" s="150" t="str">
        <f t="shared" si="17"/>
        <v>5-Ventes</v>
      </c>
      <c r="R249" s="149" t="str">
        <f t="shared" si="18"/>
        <v>405J</v>
      </c>
      <c r="S249" s="150" t="str">
        <f t="shared" si="19"/>
        <v>_</v>
      </c>
      <c r="T249" s="152" t="str">
        <f>+VLOOKUP($L249,Data_Validation!$A:$D,1,0)</f>
        <v>405J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1138</v>
      </c>
      <c r="B250" s="662" t="s">
        <v>431</v>
      </c>
      <c r="C250" s="663">
        <v>-228779.74</v>
      </c>
      <c r="D250" s="663">
        <v>-33497.56</v>
      </c>
      <c r="E250" s="663">
        <v>-262277.3</v>
      </c>
      <c r="F250" s="662" t="s">
        <v>2006</v>
      </c>
      <c r="G250" s="662" t="s">
        <v>1139</v>
      </c>
      <c r="H250" s="657" t="s">
        <v>2997</v>
      </c>
      <c r="I250" s="656"/>
      <c r="J250" s="656"/>
      <c r="K250" s="656"/>
      <c r="L250" s="149" t="str">
        <f t="shared" si="15"/>
        <v>462B</v>
      </c>
      <c r="M250" s="150" t="str">
        <f t="shared" si="16"/>
        <v>VTE - M/O INTERNE BMW CAMION</v>
      </c>
      <c r="N250" s="151">
        <f>+IF(OR($Q250=Parametres!$G$2,$Q250=Parametres!$G$3),I250,C250)</f>
        <v>-228779.74</v>
      </c>
      <c r="O250" s="151">
        <f>+IF(OR($Q250=Parametres!$G$2,$Q250=Parametres!$G$3),J250,D250)</f>
        <v>-33497.56</v>
      </c>
      <c r="P250" s="151">
        <f>+IF(OR($Q250=Parametres!$G$2,$Q250=Parametres!$G$3),K250,E250)</f>
        <v>-262277.3</v>
      </c>
      <c r="Q250" s="150" t="str">
        <f t="shared" si="17"/>
        <v>5-Ventes</v>
      </c>
      <c r="R250" s="149" t="str">
        <f t="shared" si="18"/>
        <v>462A</v>
      </c>
      <c r="S250" s="150" t="str">
        <f t="shared" si="19"/>
        <v>_</v>
      </c>
      <c r="T250" s="152" t="str">
        <f>+VLOOKUP($L250,Data_Validation!$A:$D,1,0)</f>
        <v>462B</v>
      </c>
      <c r="U250" s="152" t="str">
        <f>+VLOOKUP($L250,Data_Validation!$A:$D,3,0)</f>
        <v>service</v>
      </c>
      <c r="V250" s="152" t="str">
        <f>+VLOOKUP($L250,Data_Validation!$A:$D,4,0)</f>
        <v>M/O Interne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1119</v>
      </c>
      <c r="B251" s="708" t="s">
        <v>1120</v>
      </c>
      <c r="C251" s="709">
        <v>-225795.66</v>
      </c>
      <c r="D251" s="709">
        <v>-22670.19</v>
      </c>
      <c r="E251" s="709">
        <v>-248465.85</v>
      </c>
      <c r="F251" s="708" t="s">
        <v>2006</v>
      </c>
      <c r="G251" s="708" t="s">
        <v>1120</v>
      </c>
      <c r="H251" s="709" t="s">
        <v>2997</v>
      </c>
      <c r="I251" s="710"/>
      <c r="J251" s="710"/>
      <c r="K251" s="710"/>
      <c r="L251" s="149" t="str">
        <f t="shared" si="15"/>
        <v>470A</v>
      </c>
      <c r="M251" s="150" t="str">
        <f t="shared" si="16"/>
        <v>VTE - PIECES BT CLIENT BMW AUTO</v>
      </c>
      <c r="N251" s="151">
        <f>+IF(OR($Q251=Parametres!$G$2,$Q251=Parametres!$G$3),I251,C251)</f>
        <v>-225795.66</v>
      </c>
      <c r="O251" s="151">
        <f>+IF(OR($Q251=Parametres!$G$2,$Q251=Parametres!$G$3),J251,D251)</f>
        <v>-22670.19</v>
      </c>
      <c r="P251" s="151">
        <f>+IF(OR($Q251=Parametres!$G$2,$Q251=Parametres!$G$3),K251,E251)</f>
        <v>-248465.85</v>
      </c>
      <c r="Q251" s="150" t="str">
        <f t="shared" si="17"/>
        <v>5-Ventes</v>
      </c>
      <c r="R251" s="149" t="str">
        <f t="shared" si="18"/>
        <v>470A</v>
      </c>
      <c r="S251" s="150" t="str">
        <f t="shared" si="19"/>
        <v>_</v>
      </c>
      <c r="T251" s="152" t="str">
        <f>+VLOOKUP($L251,Data_Validation!$A:$D,1,0)</f>
        <v>470A</v>
      </c>
      <c r="U251" s="152" t="str">
        <f>+VLOOKUP($L251,Data_Validation!$A:$D,3,0)</f>
        <v>Pièces</v>
      </c>
      <c r="V251" s="152" t="str">
        <f>+VLOOKUP($L251,Data_Validation!$A:$D,4,0)</f>
        <v>Pièces Ro Clients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1382</v>
      </c>
      <c r="B252" s="708" t="s">
        <v>409</v>
      </c>
      <c r="C252" s="710">
        <v>-214954.3</v>
      </c>
      <c r="D252" s="710">
        <v>0</v>
      </c>
      <c r="E252" s="710">
        <v>-214954.3</v>
      </c>
      <c r="F252" s="708" t="s">
        <v>2006</v>
      </c>
      <c r="G252" s="708" t="s">
        <v>616</v>
      </c>
      <c r="H252" s="657" t="s">
        <v>2997</v>
      </c>
      <c r="I252" s="656"/>
      <c r="J252" s="656"/>
      <c r="K252" s="656"/>
      <c r="L252" s="149" t="str">
        <f t="shared" si="15"/>
        <v>418A</v>
      </c>
      <c r="M252" s="150" t="str">
        <f t="shared" si="16"/>
        <v>VTE - AUTRES MODELES BMW CAMION</v>
      </c>
      <c r="N252" s="151">
        <f>+IF(OR($Q252=Parametres!$G$2,$Q252=Parametres!$G$3),I252,C252)</f>
        <v>-214954.3</v>
      </c>
      <c r="O252" s="151">
        <f>+IF(OR($Q252=Parametres!$G$2,$Q252=Parametres!$G$3),J252,D252)</f>
        <v>0</v>
      </c>
      <c r="P252" s="151">
        <f>+IF(OR($Q252=Parametres!$G$2,$Q252=Parametres!$G$3),K252,E252)</f>
        <v>-214954.3</v>
      </c>
      <c r="Q252" s="150" t="str">
        <f t="shared" si="17"/>
        <v>5-Ventes</v>
      </c>
      <c r="R252" s="149" t="str">
        <f t="shared" si="18"/>
        <v>418</v>
      </c>
      <c r="S252" s="150" t="str">
        <f t="shared" si="19"/>
        <v>_</v>
      </c>
      <c r="T252" s="152" t="str">
        <f>+VLOOKUP($L252,Data_Validation!$A:$D,1,0)</f>
        <v>418A</v>
      </c>
      <c r="U252" s="152" t="str">
        <f>+VLOOKUP($L252,Data_Validation!$A:$D,3,0)</f>
        <v>Véhicules neufs</v>
      </c>
      <c r="V252" s="152" t="str">
        <f>+VLOOKUP($L252,Data_Validation!$A:$D,4,0)</f>
        <v>Ex-Démos et courtoisies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2528</v>
      </c>
      <c r="B253" s="708" t="s">
        <v>2529</v>
      </c>
      <c r="C253" s="710">
        <v>-199442</v>
      </c>
      <c r="D253" s="710">
        <v>0</v>
      </c>
      <c r="E253" s="710">
        <v>-199442</v>
      </c>
      <c r="F253" s="708" t="s">
        <v>2006</v>
      </c>
      <c r="G253" s="708" t="s">
        <v>2529</v>
      </c>
      <c r="H253" s="664" t="s">
        <v>2997</v>
      </c>
      <c r="I253" s="663"/>
      <c r="J253" s="663"/>
      <c r="K253" s="663"/>
      <c r="L253" s="149" t="str">
        <f t="shared" si="15"/>
        <v>424E</v>
      </c>
      <c r="M253" s="150" t="str">
        <f t="shared" si="16"/>
        <v>VTES -VTE - i5 M60 xDRIVE</v>
      </c>
      <c r="N253" s="151">
        <f>+IF(OR($Q253=Parametres!$G$2,$Q253=Parametres!$G$3),I253,C253)</f>
        <v>-199442</v>
      </c>
      <c r="O253" s="151">
        <f>+IF(OR($Q253=Parametres!$G$2,$Q253=Parametres!$G$3),J253,D253)</f>
        <v>0</v>
      </c>
      <c r="P253" s="151">
        <f>+IF(OR($Q253=Parametres!$G$2,$Q253=Parametres!$G$3),K253,E253)</f>
        <v>-199442</v>
      </c>
      <c r="Q253" s="150" t="str">
        <f t="shared" si="17"/>
        <v>5-Ventes</v>
      </c>
      <c r="R253" s="149" t="str">
        <f t="shared" si="18"/>
        <v>424E</v>
      </c>
      <c r="S253" s="150" t="str">
        <f t="shared" si="19"/>
        <v>_</v>
      </c>
      <c r="T253" s="152" t="str">
        <f>+VLOOKUP($L253,Data_Validation!$A:$D,1,0)</f>
        <v>424E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1095</v>
      </c>
      <c r="B254" s="708" t="s">
        <v>1096</v>
      </c>
      <c r="C254" s="710">
        <v>-195365.81</v>
      </c>
      <c r="D254" s="710">
        <v>-5805.63</v>
      </c>
      <c r="E254" s="710">
        <v>-201171.44</v>
      </c>
      <c r="F254" s="708" t="s">
        <v>2006</v>
      </c>
      <c r="G254" s="708" t="s">
        <v>1096</v>
      </c>
      <c r="H254" s="664" t="s">
        <v>2997</v>
      </c>
      <c r="I254" s="663"/>
      <c r="J254" s="663"/>
      <c r="K254" s="663"/>
      <c r="L254" s="149" t="str">
        <f t="shared" si="15"/>
        <v>472A</v>
      </c>
      <c r="M254" s="150" t="str">
        <f t="shared" si="16"/>
        <v>VTE - PIECES GARANTIE BMW AUTO</v>
      </c>
      <c r="N254" s="151">
        <f>+IF(OR($Q254=Parametres!$G$2,$Q254=Parametres!$G$3),I254,C254)</f>
        <v>-195365.81</v>
      </c>
      <c r="O254" s="497">
        <f>+IF(OR($Q254=Parametres!$G$2,$Q254=Parametres!$G$3),J254,D254)</f>
        <v>-5805.63</v>
      </c>
      <c r="P254" s="151">
        <f>+IF(OR($Q254=Parametres!$G$2,$Q254=Parametres!$G$3),K254,E254)</f>
        <v>-201171.44</v>
      </c>
      <c r="Q254" s="150" t="str">
        <f t="shared" si="17"/>
        <v>5-Ventes</v>
      </c>
      <c r="R254" s="149" t="str">
        <f t="shared" si="18"/>
        <v>472A</v>
      </c>
      <c r="S254" s="150" t="str">
        <f t="shared" si="19"/>
        <v>_</v>
      </c>
      <c r="T254" s="152" t="str">
        <f>+VLOOKUP($L254,Data_Validation!$A:$D,1,0)</f>
        <v>472A</v>
      </c>
      <c r="U254" s="152" t="str">
        <f>+VLOOKUP($L254,Data_Validation!$A:$D,3,0)</f>
        <v>pièces</v>
      </c>
      <c r="V254" s="152" t="str">
        <f>+VLOOKUP($L254,Data_Validation!$A:$D,4,0)</f>
        <v>P/A Garantie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2975</v>
      </c>
      <c r="B255" s="708" t="s">
        <v>2976</v>
      </c>
      <c r="C255" s="710">
        <v>-158838.5</v>
      </c>
      <c r="D255" s="710">
        <v>0</v>
      </c>
      <c r="E255" s="710">
        <v>-158838.5</v>
      </c>
      <c r="F255" s="708" t="s">
        <v>2006</v>
      </c>
      <c r="G255" s="708" t="s">
        <v>2976</v>
      </c>
      <c r="H255" s="664" t="s">
        <v>2997</v>
      </c>
      <c r="I255" s="663"/>
      <c r="J255" s="663"/>
      <c r="K255" s="663"/>
      <c r="L255" s="149" t="str">
        <f t="shared" si="15"/>
        <v>415C</v>
      </c>
      <c r="M255" s="150" t="str">
        <f t="shared" si="16"/>
        <v>VTES -VTE - i7 M70 xDRIVE</v>
      </c>
      <c r="N255" s="151">
        <f>+IF(OR($Q255=Parametres!$G$2,$Q255=Parametres!$G$3),I255,C255)</f>
        <v>-158838.5</v>
      </c>
      <c r="O255" s="151">
        <f>+IF(OR($Q255=Parametres!$G$2,$Q255=Parametres!$G$3),J255,D255)</f>
        <v>0</v>
      </c>
      <c r="P255" s="151">
        <f>+IF(OR($Q255=Parametres!$G$2,$Q255=Parametres!$G$3),K255,E255)</f>
        <v>-158838.5</v>
      </c>
      <c r="Q255" s="150" t="str">
        <f t="shared" si="17"/>
        <v>5-Ventes</v>
      </c>
      <c r="R255" s="149" t="str">
        <f t="shared" si="18"/>
        <v>415C</v>
      </c>
      <c r="S255" s="150" t="str">
        <f t="shared" si="19"/>
        <v>_</v>
      </c>
      <c r="T255" s="152" t="str">
        <f>+VLOOKUP($L255,Data_Validation!$A:$D,1,0)</f>
        <v>415C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2051</v>
      </c>
      <c r="B256" s="708" t="s">
        <v>2052</v>
      </c>
      <c r="C256" s="710">
        <v>-151248.5</v>
      </c>
      <c r="D256" s="710">
        <v>0</v>
      </c>
      <c r="E256" s="710">
        <v>-151248.5</v>
      </c>
      <c r="F256" s="708" t="s">
        <v>2006</v>
      </c>
      <c r="G256" s="708" t="s">
        <v>2052</v>
      </c>
      <c r="H256" s="657" t="s">
        <v>2997</v>
      </c>
      <c r="I256" s="656"/>
      <c r="J256" s="656"/>
      <c r="K256" s="656"/>
      <c r="L256" s="149" t="str">
        <f t="shared" si="15"/>
        <v>405G</v>
      </c>
      <c r="M256" s="150" t="str">
        <f t="shared" si="16"/>
        <v>VTE - M4 COUPE</v>
      </c>
      <c r="N256" s="151">
        <f>+IF(OR($Q256=Parametres!$G$2,$Q256=Parametres!$G$3),I256,C256)</f>
        <v>-151248.5</v>
      </c>
      <c r="O256" s="151">
        <f>+IF(OR($Q256=Parametres!$G$2,$Q256=Parametres!$G$3),J256,D256)</f>
        <v>0</v>
      </c>
      <c r="P256" s="151">
        <f>+IF(OR($Q256=Parametres!$G$2,$Q256=Parametres!$G$3),K256,E256)</f>
        <v>-151248.5</v>
      </c>
      <c r="Q256" s="150" t="str">
        <f t="shared" si="17"/>
        <v>5-Ventes</v>
      </c>
      <c r="R256" s="149" t="str">
        <f t="shared" si="18"/>
        <v>405G</v>
      </c>
      <c r="S256" s="150" t="str">
        <f t="shared" si="19"/>
        <v>_</v>
      </c>
      <c r="T256" s="152" t="str">
        <f>+VLOOKUP($L256,Data_Validation!$A:$D,1,0)</f>
        <v>405G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1121</v>
      </c>
      <c r="B257" s="708" t="s">
        <v>1122</v>
      </c>
      <c r="C257" s="709">
        <v>-150043</v>
      </c>
      <c r="D257" s="709">
        <v>-5197</v>
      </c>
      <c r="E257" s="709">
        <v>-155240</v>
      </c>
      <c r="F257" s="708" t="s">
        <v>2006</v>
      </c>
      <c r="G257" s="708" t="s">
        <v>625</v>
      </c>
      <c r="H257" s="709" t="s">
        <v>2997</v>
      </c>
      <c r="I257" s="710"/>
      <c r="J257" s="710"/>
      <c r="K257" s="710"/>
      <c r="L257" s="149" t="str">
        <f t="shared" si="15"/>
        <v>430U</v>
      </c>
      <c r="M257" s="150" t="str">
        <f t="shared" si="16"/>
        <v>VTE - ASSIST USURE NEUF BMW AUTO</v>
      </c>
      <c r="N257" s="151">
        <f>+IF(OR($Q257=Parametres!$G$2,$Q257=Parametres!$G$3),I257,C257)</f>
        <v>-150043</v>
      </c>
      <c r="O257" s="151">
        <f>+IF(OR($Q257=Parametres!$G$2,$Q257=Parametres!$G$3),J257,D257)</f>
        <v>-5197</v>
      </c>
      <c r="P257" s="151">
        <f>+IF(OR($Q257=Parametres!$G$2,$Q257=Parametres!$G$3),K257,E257)</f>
        <v>-155240</v>
      </c>
      <c r="Q257" s="150" t="str">
        <f t="shared" si="17"/>
        <v>5-Ventes</v>
      </c>
      <c r="R257" s="149" t="str">
        <f t="shared" si="18"/>
        <v>430</v>
      </c>
      <c r="S257" s="150" t="str">
        <f t="shared" si="19"/>
        <v>_</v>
      </c>
      <c r="T257" s="152" t="str">
        <f>+VLOOKUP($L257,Data_Validation!$A:$D,1,0)</f>
        <v>430U</v>
      </c>
      <c r="U257" s="152" t="str">
        <f>+VLOOKUP($L257,Data_Validation!$A:$D,3,0)</f>
        <v>Véhicules neufs</v>
      </c>
      <c r="V257" s="152" t="str">
        <f>+VLOOKUP($L257,Data_Validation!$A:$D,4,0)</f>
        <v>Rev. Protections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2882</v>
      </c>
      <c r="B258" s="708" t="s">
        <v>2883</v>
      </c>
      <c r="C258" s="710">
        <v>-148708.5</v>
      </c>
      <c r="D258" s="710">
        <v>0</v>
      </c>
      <c r="E258" s="710">
        <v>-148708.5</v>
      </c>
      <c r="F258" s="708" t="s">
        <v>2006</v>
      </c>
      <c r="G258" s="708" t="s">
        <v>2883</v>
      </c>
      <c r="H258" s="664" t="s">
        <v>2997</v>
      </c>
      <c r="I258" s="663"/>
      <c r="J258" s="663"/>
      <c r="K258" s="663"/>
      <c r="L258" s="149" t="str">
        <f t="shared" ref="L258:L321" si="20">+B258</f>
        <v>415A</v>
      </c>
      <c r="M258" s="150" t="str">
        <f t="shared" ref="M258:M321" si="21">+A258</f>
        <v>VTES -VTE - 750e xDRIVE</v>
      </c>
      <c r="N258" s="151">
        <f>+IF(OR($Q258=Parametres!$G$2,$Q258=Parametres!$G$3),I258,C258)</f>
        <v>-148708.5</v>
      </c>
      <c r="O258" s="151">
        <f>+IF(OR($Q258=Parametres!$G$2,$Q258=Parametres!$G$3),J258,D258)</f>
        <v>0</v>
      </c>
      <c r="P258" s="151">
        <f>+IF(OR($Q258=Parametres!$G$2,$Q258=Parametres!$G$3),K258,E258)</f>
        <v>-148708.5</v>
      </c>
      <c r="Q258" s="150" t="str">
        <f t="shared" ref="Q258:Q321" si="22">+F258</f>
        <v>5-Ventes</v>
      </c>
      <c r="R258" s="149" t="str">
        <f t="shared" ref="R258:R321" si="23">+G258</f>
        <v>415A</v>
      </c>
      <c r="S258" s="150" t="str">
        <f t="shared" ref="S258:S321" si="24">+H258</f>
        <v>_</v>
      </c>
      <c r="T258" s="152" t="str">
        <f>+VLOOKUP($L258,Data_Validation!$A:$D,1,0)</f>
        <v>415A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1397</v>
      </c>
      <c r="B259" s="708" t="s">
        <v>411</v>
      </c>
      <c r="C259" s="710">
        <v>-145801.5</v>
      </c>
      <c r="D259" s="710">
        <v>0</v>
      </c>
      <c r="E259" s="710">
        <v>-145801.5</v>
      </c>
      <c r="F259" s="708" t="s">
        <v>2006</v>
      </c>
      <c r="G259" s="708" t="s">
        <v>411</v>
      </c>
      <c r="H259" s="664" t="s">
        <v>2997</v>
      </c>
      <c r="I259" s="663"/>
      <c r="J259" s="663"/>
      <c r="K259" s="663"/>
      <c r="L259" s="149" t="str">
        <f t="shared" si="20"/>
        <v>450B</v>
      </c>
      <c r="M259" s="150" t="str">
        <f t="shared" si="21"/>
        <v>VTES -VTES - M850I XDR CAB</v>
      </c>
      <c r="N259" s="151">
        <f>+IF(OR($Q259=Parametres!$G$2,$Q259=Parametres!$G$3),I259,C259)</f>
        <v>-145801.5</v>
      </c>
      <c r="O259" s="151">
        <f>+IF(OR($Q259=Parametres!$G$2,$Q259=Parametres!$G$3),J259,D259)</f>
        <v>0</v>
      </c>
      <c r="P259" s="151">
        <f>+IF(OR($Q259=Parametres!$G$2,$Q259=Parametres!$G$3),K259,E259)</f>
        <v>-145801.5</v>
      </c>
      <c r="Q259" s="150" t="str">
        <f t="shared" si="22"/>
        <v>5-Ventes</v>
      </c>
      <c r="R259" s="149" t="str">
        <f t="shared" si="23"/>
        <v>450B</v>
      </c>
      <c r="S259" s="150" t="str">
        <f t="shared" si="24"/>
        <v>_</v>
      </c>
      <c r="T259" s="152" t="str">
        <f>+VLOOKUP($L259,Data_Validation!$A:$D,1,0)</f>
        <v>450B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1105</v>
      </c>
      <c r="B260" s="708" t="s">
        <v>368</v>
      </c>
      <c r="C260" s="710">
        <v>-142552</v>
      </c>
      <c r="D260" s="710">
        <v>0</v>
      </c>
      <c r="E260" s="710">
        <v>-142552</v>
      </c>
      <c r="F260" s="708" t="s">
        <v>2006</v>
      </c>
      <c r="G260" s="708" t="s">
        <v>368</v>
      </c>
      <c r="H260" s="657" t="s">
        <v>2997</v>
      </c>
      <c r="I260" s="656"/>
      <c r="J260" s="656"/>
      <c r="K260" s="656"/>
      <c r="L260" s="149" t="str">
        <f t="shared" si="20"/>
        <v>452</v>
      </c>
      <c r="M260" s="150" t="str">
        <f t="shared" si="21"/>
        <v>VTES -GAR PROL USAGE BMW CERT</v>
      </c>
      <c r="N260" s="151">
        <f>+IF(OR($Q260=Parametres!$G$2,$Q260=Parametres!$G$3),I260,C260)</f>
        <v>-142552</v>
      </c>
      <c r="O260" s="151">
        <f>+IF(OR($Q260=Parametres!$G$2,$Q260=Parametres!$G$3),J260,D260)</f>
        <v>0</v>
      </c>
      <c r="P260" s="151">
        <f>+IF(OR($Q260=Parametres!$G$2,$Q260=Parametres!$G$3),K260,E260)</f>
        <v>-142552</v>
      </c>
      <c r="Q260" s="150" t="str">
        <f t="shared" si="22"/>
        <v>5-Ventes</v>
      </c>
      <c r="R260" s="149" t="str">
        <f t="shared" si="23"/>
        <v>452</v>
      </c>
      <c r="S260" s="150" t="str">
        <f t="shared" si="24"/>
        <v>_</v>
      </c>
      <c r="T260" s="152" t="str">
        <f>+VLOOKUP($L260,Data_Validation!$A:$D,1,0)</f>
        <v>452</v>
      </c>
      <c r="U260" s="152" t="str">
        <f>+VLOOKUP($L260,Data_Validation!$A:$D,3,0)</f>
        <v>Véhicules usagés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1109</v>
      </c>
      <c r="B261" s="708" t="s">
        <v>436</v>
      </c>
      <c r="C261" s="710">
        <v>-142180.15</v>
      </c>
      <c r="D261" s="710">
        <v>-9338.48</v>
      </c>
      <c r="E261" s="710">
        <v>-151518.63</v>
      </c>
      <c r="F261" s="708" t="s">
        <v>2006</v>
      </c>
      <c r="G261" s="708" t="s">
        <v>1110</v>
      </c>
      <c r="H261" s="664" t="s">
        <v>2997</v>
      </c>
      <c r="I261" s="663"/>
      <c r="J261" s="663"/>
      <c r="K261" s="663"/>
      <c r="L261" s="149" t="str">
        <f t="shared" si="20"/>
        <v>461B</v>
      </c>
      <c r="M261" s="150" t="str">
        <f t="shared" si="21"/>
        <v>VTE - M/O GARANTIE BMW CAMION</v>
      </c>
      <c r="N261" s="151">
        <f>+IF(OR($Q261=Parametres!$G$2,$Q261=Parametres!$G$3),I261,C261)</f>
        <v>-142180.15</v>
      </c>
      <c r="O261" s="151">
        <f>+IF(OR($Q261=Parametres!$G$2,$Q261=Parametres!$G$3),J261,D261)</f>
        <v>-9338.48</v>
      </c>
      <c r="P261" s="151">
        <f>+IF(OR($Q261=Parametres!$G$2,$Q261=Parametres!$G$3),K261,E261)</f>
        <v>-151518.63</v>
      </c>
      <c r="Q261" s="150" t="str">
        <f t="shared" si="22"/>
        <v>5-Ventes</v>
      </c>
      <c r="R261" s="149" t="str">
        <f t="shared" si="23"/>
        <v>461A</v>
      </c>
      <c r="S261" s="150" t="str">
        <f t="shared" si="24"/>
        <v>_</v>
      </c>
      <c r="T261" s="152" t="str">
        <f>+VLOOKUP($L261,Data_Validation!$A:$D,1,0)</f>
        <v>461B</v>
      </c>
      <c r="U261" s="152" t="str">
        <f>+VLOOKUP($L261,Data_Validation!$A:$D,3,0)</f>
        <v>service</v>
      </c>
      <c r="V261" s="152" t="str">
        <f>+VLOOKUP($L261,Data_Validation!$A:$D,4,0)</f>
        <v>M/O Garantie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2516</v>
      </c>
      <c r="B262" s="662" t="s">
        <v>2517</v>
      </c>
      <c r="C262" s="663">
        <v>-141833.85999999999</v>
      </c>
      <c r="D262" s="663">
        <v>0</v>
      </c>
      <c r="E262" s="663">
        <v>-141833.85999999999</v>
      </c>
      <c r="F262" s="662" t="s">
        <v>2006</v>
      </c>
      <c r="G262" s="662" t="s">
        <v>2517</v>
      </c>
      <c r="H262" s="657" t="s">
        <v>2997</v>
      </c>
      <c r="I262" s="656"/>
      <c r="J262" s="656"/>
      <c r="K262" s="656"/>
      <c r="L262" s="149" t="str">
        <f t="shared" si="20"/>
        <v>480C</v>
      </c>
      <c r="M262" s="150" t="str">
        <f t="shared" si="21"/>
        <v>VTES -VTE - X7 M60i</v>
      </c>
      <c r="N262" s="151">
        <f>+IF(OR($Q262=Parametres!$G$2,$Q262=Parametres!$G$3),I262,C262)</f>
        <v>-141833.85999999999</v>
      </c>
      <c r="O262" s="151">
        <f>+IF(OR($Q262=Parametres!$G$2,$Q262=Parametres!$G$3),J262,D262)</f>
        <v>0</v>
      </c>
      <c r="P262" s="151">
        <f>+IF(OR($Q262=Parametres!$G$2,$Q262=Parametres!$G$3),K262,E262)</f>
        <v>-141833.85999999999</v>
      </c>
      <c r="Q262" s="150" t="str">
        <f t="shared" si="22"/>
        <v>5-Ventes</v>
      </c>
      <c r="R262" s="149" t="str">
        <f t="shared" si="23"/>
        <v>480C</v>
      </c>
      <c r="S262" s="150" t="str">
        <f t="shared" si="24"/>
        <v>_</v>
      </c>
      <c r="T262" s="152" t="str">
        <f>+VLOOKUP($L262,Data_Validation!$A:$D,1,0)</f>
        <v>480C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1412</v>
      </c>
      <c r="B263" s="708" t="s">
        <v>637</v>
      </c>
      <c r="C263" s="710">
        <v>-140428.5</v>
      </c>
      <c r="D263" s="710">
        <v>0</v>
      </c>
      <c r="E263" s="710">
        <v>-140428.5</v>
      </c>
      <c r="F263" s="708" t="s">
        <v>2006</v>
      </c>
      <c r="G263" s="708" t="s">
        <v>637</v>
      </c>
      <c r="H263" s="664" t="s">
        <v>2997</v>
      </c>
      <c r="I263" s="663"/>
      <c r="J263" s="663"/>
      <c r="K263" s="663"/>
      <c r="L263" s="149" t="str">
        <f t="shared" si="20"/>
        <v>480</v>
      </c>
      <c r="M263" s="150" t="str">
        <f t="shared" si="21"/>
        <v>VTES -VTES - X7 XDR 40I</v>
      </c>
      <c r="N263" s="151">
        <f>+IF(OR($Q263=Parametres!$G$2,$Q263=Parametres!$G$3),I263,C263)</f>
        <v>-140428.5</v>
      </c>
      <c r="O263" s="151">
        <f>+IF(OR($Q263=Parametres!$G$2,$Q263=Parametres!$G$3),J263,D263)</f>
        <v>0</v>
      </c>
      <c r="P263" s="151">
        <f>+IF(OR($Q263=Parametres!$G$2,$Q263=Parametres!$G$3),K263,E263)</f>
        <v>-140428.5</v>
      </c>
      <c r="Q263" s="150" t="str">
        <f t="shared" si="22"/>
        <v>5-Ventes</v>
      </c>
      <c r="R263" s="149" t="str">
        <f t="shared" si="23"/>
        <v>480</v>
      </c>
      <c r="S263" s="150" t="str">
        <f t="shared" si="24"/>
        <v>_</v>
      </c>
      <c r="T263" s="152" t="str">
        <f>+VLOOKUP($L263,Data_Validation!$A:$D,1,0)</f>
        <v>480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1027</v>
      </c>
      <c r="B264" s="708" t="s">
        <v>634</v>
      </c>
      <c r="C264" s="709">
        <v>-132846.51999999999</v>
      </c>
      <c r="D264" s="709">
        <v>-4520.17</v>
      </c>
      <c r="E264" s="709">
        <v>-137366.69</v>
      </c>
      <c r="F264" s="708" t="s">
        <v>2006</v>
      </c>
      <c r="G264" s="708" t="s">
        <v>1096</v>
      </c>
      <c r="H264" s="709" t="s">
        <v>2997</v>
      </c>
      <c r="I264" s="710"/>
      <c r="J264" s="710"/>
      <c r="K264" s="710"/>
      <c r="L264" s="149" t="str">
        <f t="shared" si="20"/>
        <v>472H</v>
      </c>
      <c r="M264" s="150" t="str">
        <f t="shared" si="21"/>
        <v>VTE - PIECES GARANTIE BMW I</v>
      </c>
      <c r="N264" s="151">
        <f>+IF(OR($Q264=Parametres!$G$2,$Q264=Parametres!$G$3),I264,C264)</f>
        <v>-132846.51999999999</v>
      </c>
      <c r="O264" s="151">
        <f>+IF(OR($Q264=Parametres!$G$2,$Q264=Parametres!$G$3),J264,D264)</f>
        <v>-4520.17</v>
      </c>
      <c r="P264" s="151">
        <f>+IF(OR($Q264=Parametres!$G$2,$Q264=Parametres!$G$3),K264,E264)</f>
        <v>-137366.69</v>
      </c>
      <c r="Q264" s="150" t="str">
        <f t="shared" si="22"/>
        <v>5-Ventes</v>
      </c>
      <c r="R264" s="149" t="str">
        <f t="shared" si="23"/>
        <v>472A</v>
      </c>
      <c r="S264" s="150" t="str">
        <f t="shared" si="24"/>
        <v>_</v>
      </c>
      <c r="T264" s="152" t="str">
        <f>+VLOOKUP($L264,Data_Validation!$A:$D,1,0)</f>
        <v>472H</v>
      </c>
      <c r="U264" s="152" t="str">
        <f>+VLOOKUP($L264,Data_Validation!$A:$D,3,0)</f>
        <v>pièces</v>
      </c>
      <c r="V264" s="152" t="str">
        <f>+VLOOKUP($L264,Data_Validation!$A:$D,4,0)</f>
        <v>P/A Garantie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2549</v>
      </c>
      <c r="B265" s="708" t="s">
        <v>2550</v>
      </c>
      <c r="C265" s="710">
        <v>-124316.26</v>
      </c>
      <c r="D265" s="710">
        <v>0</v>
      </c>
      <c r="E265" s="710">
        <v>-124316.26</v>
      </c>
      <c r="F265" s="708" t="s">
        <v>2006</v>
      </c>
      <c r="G265" s="708" t="s">
        <v>2550</v>
      </c>
      <c r="H265" s="657" t="s">
        <v>2997</v>
      </c>
      <c r="I265" s="656"/>
      <c r="J265" s="656"/>
      <c r="K265" s="656"/>
      <c r="L265" s="149" t="str">
        <f t="shared" si="20"/>
        <v>422C</v>
      </c>
      <c r="M265" s="150" t="str">
        <f t="shared" si="21"/>
        <v>VTES -VTE - X6 M60i</v>
      </c>
      <c r="N265" s="151">
        <f>+IF(OR($Q265=Parametres!$G$2,$Q265=Parametres!$G$3),I265,C265)</f>
        <v>-124316.26</v>
      </c>
      <c r="O265" s="151">
        <f>+IF(OR($Q265=Parametres!$G$2,$Q265=Parametres!$G$3),J265,D265)</f>
        <v>0</v>
      </c>
      <c r="P265" s="151">
        <f>+IF(OR($Q265=Parametres!$G$2,$Q265=Parametres!$G$3),K265,E265)</f>
        <v>-124316.26</v>
      </c>
      <c r="Q265" s="150" t="str">
        <f t="shared" si="22"/>
        <v>5-Ventes</v>
      </c>
      <c r="R265" s="149" t="str">
        <f t="shared" si="23"/>
        <v>422C</v>
      </c>
      <c r="S265" s="150" t="str">
        <f t="shared" si="24"/>
        <v>_</v>
      </c>
      <c r="T265" s="152" t="str">
        <f>+VLOOKUP($L265,Data_Validation!$A:$D,1,0)</f>
        <v>422C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2495</v>
      </c>
      <c r="B266" s="708" t="s">
        <v>2496</v>
      </c>
      <c r="C266" s="710">
        <v>-122189.22</v>
      </c>
      <c r="D266" s="710">
        <v>0</v>
      </c>
      <c r="E266" s="710">
        <v>-122189.22</v>
      </c>
      <c r="F266" s="708" t="s">
        <v>2006</v>
      </c>
      <c r="G266" s="708" t="s">
        <v>2496</v>
      </c>
      <c r="H266" s="664" t="s">
        <v>2997</v>
      </c>
      <c r="I266" s="664"/>
      <c r="J266" s="664"/>
      <c r="K266" s="664"/>
      <c r="L266" s="149" t="str">
        <f t="shared" si="20"/>
        <v>415B</v>
      </c>
      <c r="M266" s="150" t="str">
        <f t="shared" si="21"/>
        <v>VTES -VTE - i7 xDRIVE60</v>
      </c>
      <c r="N266" s="151">
        <f>+IF(OR($Q266=Parametres!$G$2,$Q266=Parametres!$G$3),I266,C266)</f>
        <v>-122189.22</v>
      </c>
      <c r="O266" s="497">
        <f>+IF(OR($Q266=Parametres!$G$2,$Q266=Parametres!$G$3),J266,D266)</f>
        <v>0</v>
      </c>
      <c r="P266" s="151">
        <f>+IF(OR($Q266=Parametres!$G$2,$Q266=Parametres!$G$3),K266,E266)</f>
        <v>-122189.22</v>
      </c>
      <c r="Q266" s="150" t="str">
        <f t="shared" si="22"/>
        <v>5-Ventes</v>
      </c>
      <c r="R266" s="149" t="str">
        <f t="shared" si="23"/>
        <v>415B</v>
      </c>
      <c r="S266" s="150" t="str">
        <f t="shared" si="24"/>
        <v>_</v>
      </c>
      <c r="T266" s="152" t="str">
        <f>+VLOOKUP($L266,Data_Validation!$A:$D,1,0)</f>
        <v>415B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1117</v>
      </c>
      <c r="B267" s="708" t="s">
        <v>1118</v>
      </c>
      <c r="C267" s="710">
        <v>-121482.09</v>
      </c>
      <c r="D267" s="710">
        <v>-13609.63</v>
      </c>
      <c r="E267" s="710">
        <v>-135091.72</v>
      </c>
      <c r="F267" s="708" t="s">
        <v>2006</v>
      </c>
      <c r="G267" s="708" t="s">
        <v>1118</v>
      </c>
      <c r="H267" s="664" t="s">
        <v>2997</v>
      </c>
      <c r="I267" s="663"/>
      <c r="J267" s="663"/>
      <c r="K267" s="663"/>
      <c r="L267" s="149" t="str">
        <f t="shared" si="20"/>
        <v>474A</v>
      </c>
      <c r="M267" s="150" t="str">
        <f t="shared" si="21"/>
        <v>VTE - PIECES COMPTOIR BMW AUTO</v>
      </c>
      <c r="N267" s="151">
        <f>+IF(OR($Q267=Parametres!$G$2,$Q267=Parametres!$G$3),I267,C267)</f>
        <v>-121482.09</v>
      </c>
      <c r="O267" s="151">
        <f>+IF(OR($Q267=Parametres!$G$2,$Q267=Parametres!$G$3),J267,D267)</f>
        <v>-13609.63</v>
      </c>
      <c r="P267" s="151">
        <f>+IF(OR($Q267=Parametres!$G$2,$Q267=Parametres!$G$3),K267,E267)</f>
        <v>-135091.72</v>
      </c>
      <c r="Q267" s="150" t="str">
        <f t="shared" si="22"/>
        <v>5-Ventes</v>
      </c>
      <c r="R267" s="149" t="str">
        <f t="shared" si="23"/>
        <v>474A</v>
      </c>
      <c r="S267" s="150" t="str">
        <f t="shared" si="24"/>
        <v>_</v>
      </c>
      <c r="T267" s="152" t="str">
        <f>+VLOOKUP($L267,Data_Validation!$A:$D,1,0)</f>
        <v>474A</v>
      </c>
      <c r="U267" s="152" t="str">
        <f>+VLOOKUP($L267,Data_Validation!$A:$D,3,0)</f>
        <v>pièces</v>
      </c>
      <c r="V267" s="152" t="str">
        <f>+VLOOKUP($L267,Data_Validation!$A:$D,4,0)</f>
        <v>Ventes Détails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1136</v>
      </c>
      <c r="B268" s="708" t="s">
        <v>1014</v>
      </c>
      <c r="C268" s="710">
        <v>-120940.65</v>
      </c>
      <c r="D268" s="710">
        <v>-6069</v>
      </c>
      <c r="E268" s="710">
        <v>-127009.65</v>
      </c>
      <c r="F268" s="708" t="s">
        <v>2006</v>
      </c>
      <c r="G268" s="708" t="s">
        <v>625</v>
      </c>
      <c r="H268" s="664" t="s">
        <v>2997</v>
      </c>
      <c r="I268" s="664"/>
      <c r="J268" s="664"/>
      <c r="K268" s="664"/>
      <c r="L268" s="149" t="str">
        <f t="shared" si="20"/>
        <v>430A</v>
      </c>
      <c r="M268" s="150" t="str">
        <f t="shared" si="21"/>
        <v>VTES -VTE - MARQUAGE NEUF BMW AUTO</v>
      </c>
      <c r="N268" s="151">
        <f>+IF(OR($Q268=Parametres!$G$2,$Q268=Parametres!$G$3),I268,C268)</f>
        <v>-120940.65</v>
      </c>
      <c r="O268" s="151">
        <f>+IF(OR($Q268=Parametres!$G$2,$Q268=Parametres!$G$3),J268,D268)</f>
        <v>-6069</v>
      </c>
      <c r="P268" s="151">
        <f>+IF(OR($Q268=Parametres!$G$2,$Q268=Parametres!$G$3),K268,E268)</f>
        <v>-127009.65</v>
      </c>
      <c r="Q268" s="150" t="str">
        <f t="shared" si="22"/>
        <v>5-Ventes</v>
      </c>
      <c r="R268" s="149" t="str">
        <f t="shared" si="23"/>
        <v>430</v>
      </c>
      <c r="S268" s="150" t="str">
        <f t="shared" si="24"/>
        <v>_</v>
      </c>
      <c r="T268" s="152" t="str">
        <f>+VLOOKUP($L268,Data_Validation!$A:$D,1,0)</f>
        <v>430A</v>
      </c>
      <c r="U268" s="152" t="str">
        <f>+VLOOKUP($L268,Data_Validation!$A:$D,3,0)</f>
        <v>Véhicules neufs</v>
      </c>
      <c r="V268" s="152" t="str">
        <f>+VLOOKUP($L268,Data_Validation!$A:$D,4,0)</f>
        <v>Rev. Autres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2470</v>
      </c>
      <c r="B269" s="708" t="s">
        <v>2471</v>
      </c>
      <c r="C269" s="710">
        <v>-119112</v>
      </c>
      <c r="D269" s="710">
        <v>0</v>
      </c>
      <c r="E269" s="710">
        <v>-119112</v>
      </c>
      <c r="F269" s="708" t="s">
        <v>2006</v>
      </c>
      <c r="G269" s="708" t="s">
        <v>2471</v>
      </c>
      <c r="H269" s="664" t="s">
        <v>2997</v>
      </c>
      <c r="I269" s="663"/>
      <c r="J269" s="663"/>
      <c r="K269" s="663"/>
      <c r="L269" s="149" t="str">
        <f t="shared" si="20"/>
        <v>405C</v>
      </c>
      <c r="M269" s="150" t="str">
        <f t="shared" si="21"/>
        <v>VTES -VTE - i4 eDRIVE35</v>
      </c>
      <c r="N269" s="151">
        <f>+IF(OR($Q269=Parametres!$G$2,$Q269=Parametres!$G$3),I269,C269)</f>
        <v>-119112</v>
      </c>
      <c r="O269" s="151">
        <f>+IF(OR($Q269=Parametres!$G$2,$Q269=Parametres!$G$3),J269,D269)</f>
        <v>0</v>
      </c>
      <c r="P269" s="151">
        <f>+IF(OR($Q269=Parametres!$G$2,$Q269=Parametres!$G$3),K269,E269)</f>
        <v>-119112</v>
      </c>
      <c r="Q269" s="150" t="str">
        <f t="shared" si="22"/>
        <v>5-Ventes</v>
      </c>
      <c r="R269" s="149" t="str">
        <f t="shared" si="23"/>
        <v>405C</v>
      </c>
      <c r="S269" s="150" t="str">
        <f t="shared" si="24"/>
        <v>_</v>
      </c>
      <c r="T269" s="152" t="str">
        <f>+VLOOKUP($L269,Data_Validation!$A:$D,1,0)</f>
        <v>405C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1126</v>
      </c>
      <c r="B270" s="708" t="s">
        <v>627</v>
      </c>
      <c r="C270" s="709">
        <v>-119103</v>
      </c>
      <c r="D270" s="709">
        <v>0</v>
      </c>
      <c r="E270" s="709">
        <v>-119103</v>
      </c>
      <c r="F270" s="708" t="s">
        <v>2006</v>
      </c>
      <c r="G270" s="708" t="s">
        <v>2011</v>
      </c>
      <c r="H270" s="709" t="s">
        <v>2997</v>
      </c>
      <c r="I270" s="710"/>
      <c r="J270" s="710"/>
      <c r="K270" s="710"/>
      <c r="L270" s="149" t="str">
        <f t="shared" si="20"/>
        <v>432A</v>
      </c>
      <c r="M270" s="150" t="str">
        <f t="shared" si="21"/>
        <v>VTE - GAR PROL NEUF BMW AUTO</v>
      </c>
      <c r="N270" s="151">
        <f>+IF(OR($Q270=Parametres!$G$2,$Q270=Parametres!$G$3),I270,C270)</f>
        <v>-119103</v>
      </c>
      <c r="O270" s="151">
        <f>+IF(OR($Q270=Parametres!$G$2,$Q270=Parametres!$G$3),J270,D270)</f>
        <v>0</v>
      </c>
      <c r="P270" s="151">
        <f>+IF(OR($Q270=Parametres!$G$2,$Q270=Parametres!$G$3),K270,E270)</f>
        <v>-119103</v>
      </c>
      <c r="Q270" s="150" t="str">
        <f t="shared" si="22"/>
        <v>5-Ventes</v>
      </c>
      <c r="R270" s="149" t="str">
        <f t="shared" si="23"/>
        <v>432</v>
      </c>
      <c r="S270" s="150" t="str">
        <f t="shared" si="24"/>
        <v>_</v>
      </c>
      <c r="T270" s="152" t="str">
        <f>+VLOOKUP($L270,Data_Validation!$A:$D,1,0)</f>
        <v>432A</v>
      </c>
      <c r="U270" s="152" t="str">
        <f>+VLOOKUP($L270,Data_Validation!$A:$D,3,0)</f>
        <v>Véhicules neufs</v>
      </c>
      <c r="V270" s="152" t="str">
        <f>+VLOOKUP($L270,Data_Validation!$A:$D,4,0)</f>
        <v>Rev. Protections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2991</v>
      </c>
      <c r="B271" s="708" t="s">
        <v>2992</v>
      </c>
      <c r="C271" s="709">
        <v>-113148.5</v>
      </c>
      <c r="D271" s="709">
        <v>-96425.05</v>
      </c>
      <c r="E271" s="709">
        <v>-209573.55</v>
      </c>
      <c r="F271" s="708" t="s">
        <v>2006</v>
      </c>
      <c r="G271" s="708" t="s">
        <v>3002</v>
      </c>
      <c r="H271" s="709" t="s">
        <v>2997</v>
      </c>
      <c r="I271" s="710"/>
      <c r="J271" s="710"/>
      <c r="K271" s="710"/>
      <c r="L271" s="149" t="str">
        <f t="shared" si="20"/>
        <v>402E</v>
      </c>
      <c r="M271" s="150" t="str">
        <f t="shared" si="21"/>
        <v>IX XDRIVE60</v>
      </c>
      <c r="N271" s="151">
        <f>+IF(OR($Q271=Parametres!$G$2,$Q271=Parametres!$G$3),I271,C271)</f>
        <v>-113148.5</v>
      </c>
      <c r="O271" s="151">
        <f>+IF(OR($Q271=Parametres!$G$2,$Q271=Parametres!$G$3),J271,D271)</f>
        <v>-96425.05</v>
      </c>
      <c r="P271" s="151">
        <f>+IF(OR($Q271=Parametres!$G$2,$Q271=Parametres!$G$3),K271,E271)</f>
        <v>-209573.55</v>
      </c>
      <c r="Q271" s="150" t="str">
        <f t="shared" si="22"/>
        <v>5-Ventes</v>
      </c>
      <c r="R271" s="149" t="str">
        <f t="shared" si="23"/>
        <v>402</v>
      </c>
      <c r="S271" s="150" t="str">
        <f t="shared" si="24"/>
        <v>_</v>
      </c>
      <c r="T271" s="152" t="str">
        <f>+VLOOKUP($L271,Data_Validation!$A:$D,1,0)</f>
        <v>402E</v>
      </c>
      <c r="U271" s="152" t="str">
        <f>+VLOOKUP($L271,Data_Validation!$A:$D,3,0)</f>
        <v>Véhicules neufs</v>
      </c>
      <c r="V271" s="152" t="str">
        <f>+VLOOKUP($L271,Data_Validation!$A:$D,4,0)</f>
        <v>Camions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1385</v>
      </c>
      <c r="B272" s="708" t="s">
        <v>419</v>
      </c>
      <c r="C272" s="710">
        <v>-111449.5</v>
      </c>
      <c r="D272" s="710">
        <v>0</v>
      </c>
      <c r="E272" s="710">
        <v>-111449.5</v>
      </c>
      <c r="F272" s="708" t="s">
        <v>2006</v>
      </c>
      <c r="G272" s="708" t="s">
        <v>419</v>
      </c>
      <c r="H272" s="664" t="s">
        <v>2997</v>
      </c>
      <c r="I272" s="663"/>
      <c r="J272" s="663"/>
      <c r="K272" s="663"/>
      <c r="L272" s="149" t="str">
        <f t="shared" si="20"/>
        <v>422A</v>
      </c>
      <c r="M272" s="150" t="str">
        <f t="shared" si="21"/>
        <v>VTE - X6 XDRIVE 35I</v>
      </c>
      <c r="N272" s="151">
        <f>+IF(OR($Q272=Parametres!$G$2,$Q272=Parametres!$G$3),I272,C272)</f>
        <v>-111449.5</v>
      </c>
      <c r="O272" s="151">
        <f>+IF(OR($Q272=Parametres!$G$2,$Q272=Parametres!$G$3),J272,D272)</f>
        <v>0</v>
      </c>
      <c r="P272" s="151">
        <f>+IF(OR($Q272=Parametres!$G$2,$Q272=Parametres!$G$3),K272,E272)</f>
        <v>-111449.5</v>
      </c>
      <c r="Q272" s="150" t="str">
        <f t="shared" si="22"/>
        <v>5-Ventes</v>
      </c>
      <c r="R272" s="149" t="str">
        <f t="shared" si="23"/>
        <v>422A</v>
      </c>
      <c r="S272" s="150" t="str">
        <f t="shared" si="24"/>
        <v>_</v>
      </c>
      <c r="T272" s="152" t="str">
        <f>+VLOOKUP($L272,Data_Validation!$A:$D,1,0)</f>
        <v>422A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1148</v>
      </c>
      <c r="B273" s="708" t="s">
        <v>1132</v>
      </c>
      <c r="C273" s="709">
        <v>-107821.75999999999</v>
      </c>
      <c r="D273" s="709">
        <v>-13808.22</v>
      </c>
      <c r="E273" s="709">
        <v>-121629.98</v>
      </c>
      <c r="F273" s="708" t="s">
        <v>2006</v>
      </c>
      <c r="G273" s="708" t="s">
        <v>1132</v>
      </c>
      <c r="H273" s="709" t="s">
        <v>2997</v>
      </c>
      <c r="I273" s="710"/>
      <c r="J273" s="710"/>
      <c r="K273" s="710"/>
      <c r="L273" s="149" t="str">
        <f t="shared" si="20"/>
        <v>473A</v>
      </c>
      <c r="M273" s="150" t="str">
        <f t="shared" si="21"/>
        <v>VTE - PIECES INTERNE BMW AUTO</v>
      </c>
      <c r="N273" s="151">
        <f>+IF(OR($Q273=Parametres!$G$2,$Q273=Parametres!$G$3),I273,C273)</f>
        <v>-107821.75999999999</v>
      </c>
      <c r="O273" s="151">
        <f>+IF(OR($Q273=Parametres!$G$2,$Q273=Parametres!$G$3),J273,D273)</f>
        <v>-13808.22</v>
      </c>
      <c r="P273" s="151">
        <f>+IF(OR($Q273=Parametres!$G$2,$Q273=Parametres!$G$3),K273,E273)</f>
        <v>-121629.98</v>
      </c>
      <c r="Q273" s="150" t="str">
        <f t="shared" si="22"/>
        <v>5-Ventes</v>
      </c>
      <c r="R273" s="149" t="str">
        <f t="shared" si="23"/>
        <v>473A</v>
      </c>
      <c r="S273" s="150" t="str">
        <f t="shared" si="24"/>
        <v>_</v>
      </c>
      <c r="T273" s="152" t="str">
        <f>+VLOOKUP($L273,Data_Validation!$A:$D,1,0)</f>
        <v>473A</v>
      </c>
      <c r="U273" s="152" t="str">
        <f>+VLOOKUP($L273,Data_Validation!$A:$D,3,0)</f>
        <v>pièces</v>
      </c>
      <c r="V273" s="152" t="str">
        <f>+VLOOKUP($L273,Data_Validation!$A:$D,4,0)</f>
        <v>Ventes Internes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1984</v>
      </c>
      <c r="B274" s="708" t="s">
        <v>1985</v>
      </c>
      <c r="C274" s="710">
        <v>-103665</v>
      </c>
      <c r="D274" s="710">
        <v>-16023</v>
      </c>
      <c r="E274" s="710">
        <v>-119688</v>
      </c>
      <c r="F274" s="708" t="s">
        <v>2006</v>
      </c>
      <c r="G274" s="708" t="s">
        <v>368</v>
      </c>
      <c r="H274" s="664" t="s">
        <v>2997</v>
      </c>
      <c r="I274" s="663"/>
      <c r="J274" s="663"/>
      <c r="K274" s="663"/>
      <c r="L274" s="149" t="str">
        <f t="shared" si="20"/>
        <v>452C</v>
      </c>
      <c r="M274" s="150" t="str">
        <f t="shared" si="21"/>
        <v>VTES -GAR PROL USAGE BMW NON-CERT</v>
      </c>
      <c r="N274" s="151">
        <f>+IF(OR($Q274=Parametres!$G$2,$Q274=Parametres!$G$3),I274,C274)</f>
        <v>-103665</v>
      </c>
      <c r="O274" s="151">
        <f>+IF(OR($Q274=Parametres!$G$2,$Q274=Parametres!$G$3),J274,D274)</f>
        <v>-16023</v>
      </c>
      <c r="P274" s="151">
        <f>+IF(OR($Q274=Parametres!$G$2,$Q274=Parametres!$G$3),K274,E274)</f>
        <v>-119688</v>
      </c>
      <c r="Q274" s="150" t="str">
        <f t="shared" si="22"/>
        <v>5-Ventes</v>
      </c>
      <c r="R274" s="149" t="str">
        <f t="shared" si="23"/>
        <v>452</v>
      </c>
      <c r="S274" s="150" t="str">
        <f t="shared" si="24"/>
        <v>_</v>
      </c>
      <c r="T274" s="152" t="str">
        <f>+VLOOKUP($L274,Data_Validation!$A:$D,1,0)</f>
        <v>452C</v>
      </c>
      <c r="U274" s="152" t="str">
        <f>+VLOOKUP($L274,Data_Validation!$A:$D,3,0)</f>
        <v>Véhicules usagés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1127</v>
      </c>
      <c r="B275" s="662" t="s">
        <v>1110</v>
      </c>
      <c r="C275" s="663">
        <v>-95318.77</v>
      </c>
      <c r="D275" s="663">
        <v>-3443.22</v>
      </c>
      <c r="E275" s="663">
        <v>-98761.99</v>
      </c>
      <c r="F275" s="662" t="s">
        <v>2006</v>
      </c>
      <c r="G275" s="662" t="s">
        <v>1110</v>
      </c>
      <c r="H275" s="657" t="s">
        <v>2997</v>
      </c>
      <c r="I275" s="656"/>
      <c r="J275" s="656"/>
      <c r="K275" s="656"/>
      <c r="L275" s="149" t="str">
        <f t="shared" si="20"/>
        <v>461A</v>
      </c>
      <c r="M275" s="150" t="str">
        <f t="shared" si="21"/>
        <v>VTE - M/O GARANTIE BMW AUTO</v>
      </c>
      <c r="N275" s="151">
        <f>+IF(OR($Q275=Parametres!$G$2,$Q275=Parametres!$G$3),I275,C275)</f>
        <v>-95318.77</v>
      </c>
      <c r="O275" s="151">
        <f>+IF(OR($Q275=Parametres!$G$2,$Q275=Parametres!$G$3),J275,D275)</f>
        <v>-3443.22</v>
      </c>
      <c r="P275" s="151">
        <f>+IF(OR($Q275=Parametres!$G$2,$Q275=Parametres!$G$3),K275,E275)</f>
        <v>-98761.99</v>
      </c>
      <c r="Q275" s="150" t="str">
        <f t="shared" si="22"/>
        <v>5-Ventes</v>
      </c>
      <c r="R275" s="149" t="str">
        <f t="shared" si="23"/>
        <v>461A</v>
      </c>
      <c r="S275" s="150" t="str">
        <f t="shared" si="24"/>
        <v>_</v>
      </c>
      <c r="T275" s="152" t="str">
        <f>+VLOOKUP($L275,Data_Validation!$A:$D,1,0)</f>
        <v>461A</v>
      </c>
      <c r="U275" s="152" t="str">
        <f>+VLOOKUP($L275,Data_Validation!$A:$D,3,0)</f>
        <v>service</v>
      </c>
      <c r="V275" s="152" t="str">
        <f>+VLOOKUP($L275,Data_Validation!$A:$D,4,0)</f>
        <v>M/O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2923</v>
      </c>
      <c r="B276" s="708" t="s">
        <v>2924</v>
      </c>
      <c r="C276" s="710">
        <v>-90148.5</v>
      </c>
      <c r="D276" s="710">
        <v>0</v>
      </c>
      <c r="E276" s="710">
        <v>-90148.5</v>
      </c>
      <c r="F276" s="708" t="s">
        <v>2006</v>
      </c>
      <c r="G276" s="708" t="s">
        <v>2924</v>
      </c>
      <c r="H276" s="664" t="s">
        <v>2997</v>
      </c>
      <c r="I276" s="663"/>
      <c r="J276" s="663"/>
      <c r="K276" s="663"/>
      <c r="L276" s="149" t="str">
        <f t="shared" si="20"/>
        <v>401A</v>
      </c>
      <c r="M276" s="150" t="str">
        <f t="shared" si="21"/>
        <v>VTES -VTE - M240I COUPE</v>
      </c>
      <c r="N276" s="151">
        <f>+IF(OR($Q276=Parametres!$G$2,$Q276=Parametres!$G$3),I276,C276)</f>
        <v>-90148.5</v>
      </c>
      <c r="O276" s="151">
        <f>+IF(OR($Q276=Parametres!$G$2,$Q276=Parametres!$G$3),J276,D276)</f>
        <v>0</v>
      </c>
      <c r="P276" s="151">
        <f>+IF(OR($Q276=Parametres!$G$2,$Q276=Parametres!$G$3),K276,E276)</f>
        <v>-90148.5</v>
      </c>
      <c r="Q276" s="150" t="str">
        <f t="shared" si="22"/>
        <v>5-Ventes</v>
      </c>
      <c r="R276" s="149" t="str">
        <f t="shared" si="23"/>
        <v>401A</v>
      </c>
      <c r="S276" s="150" t="str">
        <f t="shared" si="24"/>
        <v>_</v>
      </c>
      <c r="T276" s="152" t="str">
        <f>+VLOOKUP($L276,Data_Validation!$A:$D,1,0)</f>
        <v>401A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2094</v>
      </c>
      <c r="B277" s="662" t="s">
        <v>2093</v>
      </c>
      <c r="C277" s="663">
        <v>-90124</v>
      </c>
      <c r="D277" s="663">
        <v>-5280</v>
      </c>
      <c r="E277" s="663">
        <v>-95404</v>
      </c>
      <c r="F277" s="662" t="s">
        <v>2006</v>
      </c>
      <c r="G277" s="662" t="s">
        <v>2359</v>
      </c>
      <c r="H277" s="657" t="s">
        <v>2997</v>
      </c>
      <c r="I277" s="656"/>
      <c r="J277" s="656"/>
      <c r="K277" s="656"/>
      <c r="L277" s="149" t="str">
        <f t="shared" si="20"/>
        <v>434A</v>
      </c>
      <c r="M277" s="150" t="str">
        <f t="shared" si="21"/>
        <v>VTE - CONT ENTRT NEUF BMW AUTO</v>
      </c>
      <c r="N277" s="151">
        <f>+IF(OR($Q277=Parametres!$G$2,$Q277=Parametres!$G$3),I277,C277)</f>
        <v>-90124</v>
      </c>
      <c r="O277" s="151">
        <f>+IF(OR($Q277=Parametres!$G$2,$Q277=Parametres!$G$3),J277,D277)</f>
        <v>-5280</v>
      </c>
      <c r="P277" s="151">
        <f>+IF(OR($Q277=Parametres!$G$2,$Q277=Parametres!$G$3),K277,E277)</f>
        <v>-95404</v>
      </c>
      <c r="Q277" s="150" t="str">
        <f t="shared" si="22"/>
        <v>5-Ventes</v>
      </c>
      <c r="R277" s="149" t="str">
        <f t="shared" si="23"/>
        <v>434</v>
      </c>
      <c r="S277" s="150" t="str">
        <f t="shared" si="24"/>
        <v>_</v>
      </c>
      <c r="T277" s="152" t="str">
        <f>+VLOOKUP($L277,Data_Validation!$A:$D,1,0)</f>
        <v>434A</v>
      </c>
      <c r="U277" s="152" t="str">
        <f>+VLOOKUP($L277,Data_Validation!$A:$D,3,0)</f>
        <v>Véhicules neufs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1024</v>
      </c>
      <c r="B278" s="662" t="s">
        <v>407</v>
      </c>
      <c r="C278" s="663">
        <v>-87503.38</v>
      </c>
      <c r="D278" s="663">
        <v>0</v>
      </c>
      <c r="E278" s="663">
        <v>-87503.38</v>
      </c>
      <c r="F278" s="662" t="s">
        <v>2006</v>
      </c>
      <c r="G278" s="662" t="s">
        <v>407</v>
      </c>
      <c r="H278" s="657" t="s">
        <v>2997</v>
      </c>
      <c r="I278" s="656"/>
      <c r="J278" s="656"/>
      <c r="K278" s="656"/>
      <c r="L278" s="149" t="str">
        <f t="shared" si="20"/>
        <v>429C</v>
      </c>
      <c r="M278" s="150" t="str">
        <f t="shared" si="21"/>
        <v>VTE - X4 M40I XDRIVE</v>
      </c>
      <c r="N278" s="151">
        <f>+IF(OR($Q278=Parametres!$G$2,$Q278=Parametres!$G$3),I278,C278)</f>
        <v>-87503.38</v>
      </c>
      <c r="O278" s="151">
        <f>+IF(OR($Q278=Parametres!$G$2,$Q278=Parametres!$G$3),J278,D278)</f>
        <v>0</v>
      </c>
      <c r="P278" s="151">
        <f>+IF(OR($Q278=Parametres!$G$2,$Q278=Parametres!$G$3),K278,E278)</f>
        <v>-87503.38</v>
      </c>
      <c r="Q278" s="150" t="str">
        <f t="shared" si="22"/>
        <v>5-Ventes</v>
      </c>
      <c r="R278" s="149" t="str">
        <f t="shared" si="23"/>
        <v>429C</v>
      </c>
      <c r="S278" s="150" t="str">
        <f t="shared" si="24"/>
        <v>_</v>
      </c>
      <c r="T278" s="152" t="str">
        <f>+VLOOKUP($L278,Data_Validation!$A:$D,1,0)</f>
        <v>429C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1131</v>
      </c>
      <c r="B279" s="708" t="s">
        <v>449</v>
      </c>
      <c r="C279" s="710">
        <v>-82684.210000000006</v>
      </c>
      <c r="D279" s="710">
        <v>-15092.78</v>
      </c>
      <c r="E279" s="710">
        <v>-97776.99</v>
      </c>
      <c r="F279" s="708" t="s">
        <v>2006</v>
      </c>
      <c r="G279" s="708" t="s">
        <v>1132</v>
      </c>
      <c r="H279" s="657" t="s">
        <v>2997</v>
      </c>
      <c r="I279" s="656"/>
      <c r="J279" s="656"/>
      <c r="K279" s="656"/>
      <c r="L279" s="149" t="str">
        <f t="shared" si="20"/>
        <v>473B</v>
      </c>
      <c r="M279" s="150" t="str">
        <f t="shared" si="21"/>
        <v>VTE - PIECES INTERNE BMW CAMION</v>
      </c>
      <c r="N279" s="151">
        <f>+IF(OR($Q279=Parametres!$G$2,$Q279=Parametres!$G$3),I279,C279)</f>
        <v>-82684.210000000006</v>
      </c>
      <c r="O279" s="151">
        <f>+IF(OR($Q279=Parametres!$G$2,$Q279=Parametres!$G$3),J279,D279)</f>
        <v>-15092.78</v>
      </c>
      <c r="P279" s="151">
        <f>+IF(OR($Q279=Parametres!$G$2,$Q279=Parametres!$G$3),K279,E279)</f>
        <v>-97776.99</v>
      </c>
      <c r="Q279" s="150" t="str">
        <f t="shared" si="22"/>
        <v>5-Ventes</v>
      </c>
      <c r="R279" s="149" t="str">
        <f t="shared" si="23"/>
        <v>473A</v>
      </c>
      <c r="S279" s="150" t="str">
        <f t="shared" si="24"/>
        <v>_</v>
      </c>
      <c r="T279" s="152" t="str">
        <f>+VLOOKUP($L279,Data_Validation!$A:$D,1,0)</f>
        <v>473B</v>
      </c>
      <c r="U279" s="152" t="str">
        <f>+VLOOKUP($L279,Data_Validation!$A:$D,3,0)</f>
        <v>pièces</v>
      </c>
      <c r="V279" s="152" t="str">
        <f>+VLOOKUP($L279,Data_Validation!$A:$D,4,0)</f>
        <v>Ventes Internes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1383</v>
      </c>
      <c r="B280" s="708" t="s">
        <v>423</v>
      </c>
      <c r="C280" s="710">
        <v>-81898.5</v>
      </c>
      <c r="D280" s="710">
        <v>0</v>
      </c>
      <c r="E280" s="710">
        <v>-81898.5</v>
      </c>
      <c r="F280" s="708" t="s">
        <v>2006</v>
      </c>
      <c r="G280" s="708" t="s">
        <v>423</v>
      </c>
      <c r="H280" s="602" t="s">
        <v>2997</v>
      </c>
      <c r="I280" s="601"/>
      <c r="J280" s="601"/>
      <c r="K280" s="601"/>
      <c r="L280" s="149" t="str">
        <f t="shared" si="20"/>
        <v>419</v>
      </c>
      <c r="M280" s="150" t="str">
        <f t="shared" si="21"/>
        <v>VTE - FLEET VOITURE BMW</v>
      </c>
      <c r="N280" s="151">
        <f>+IF(OR($Q280=Parametres!$G$2,$Q280=Parametres!$G$3),I280,C280)</f>
        <v>-81898.5</v>
      </c>
      <c r="O280" s="151">
        <f>+IF(OR($Q280=Parametres!$G$2,$Q280=Parametres!$G$3),J280,D280)</f>
        <v>0</v>
      </c>
      <c r="P280" s="151">
        <f>+IF(OR($Q280=Parametres!$G$2,$Q280=Parametres!$G$3),K280,E280)</f>
        <v>-81898.5</v>
      </c>
      <c r="Q280" s="150" t="str">
        <f t="shared" si="22"/>
        <v>5-Ventes</v>
      </c>
      <c r="R280" s="149" t="str">
        <f t="shared" si="23"/>
        <v>419</v>
      </c>
      <c r="S280" s="150" t="str">
        <f t="shared" si="24"/>
        <v>_</v>
      </c>
      <c r="T280" s="152" t="str">
        <f>+VLOOKUP($L280,Data_Validation!$A:$D,1,0)</f>
        <v>419</v>
      </c>
      <c r="U280" s="152" t="str">
        <f>+VLOOKUP($L280,Data_Validation!$A:$D,3,0)</f>
        <v>Véhicules neufs</v>
      </c>
      <c r="V280" s="152" t="str">
        <f>+VLOOKUP($L280,Data_Validation!$A:$D,4,0)</f>
        <v>Flottes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1178</v>
      </c>
      <c r="B281" s="708" t="s">
        <v>450</v>
      </c>
      <c r="C281" s="710">
        <v>-80315.8</v>
      </c>
      <c r="D281" s="710">
        <v>-18023.060000000001</v>
      </c>
      <c r="E281" s="710">
        <v>-98338.86</v>
      </c>
      <c r="F281" s="708" t="s">
        <v>2006</v>
      </c>
      <c r="G281" s="708" t="s">
        <v>450</v>
      </c>
      <c r="H281" s="664" t="s">
        <v>2997</v>
      </c>
      <c r="I281" s="663"/>
      <c r="J281" s="663"/>
      <c r="K281" s="663"/>
      <c r="L281" s="149" t="str">
        <f t="shared" si="20"/>
        <v>459A</v>
      </c>
      <c r="M281" s="150" t="str">
        <f t="shared" si="21"/>
        <v>VTE - BMW SPA PROGRAMME</v>
      </c>
      <c r="N281" s="151">
        <f>+IF(OR($Q281=Parametres!$G$2,$Q281=Parametres!$G$3),I281,C281)</f>
        <v>-80315.8</v>
      </c>
      <c r="O281" s="151">
        <f>+IF(OR($Q281=Parametres!$G$2,$Q281=Parametres!$G$3),J281,D281)</f>
        <v>-18023.060000000001</v>
      </c>
      <c r="P281" s="151">
        <f>+IF(OR($Q281=Parametres!$G$2,$Q281=Parametres!$G$3),K281,E281)</f>
        <v>-98338.86</v>
      </c>
      <c r="Q281" s="150" t="str">
        <f t="shared" si="22"/>
        <v>5-Ventes</v>
      </c>
      <c r="R281" s="149" t="str">
        <f t="shared" si="23"/>
        <v>459A</v>
      </c>
      <c r="S281" s="150" t="str">
        <f t="shared" si="24"/>
        <v>_</v>
      </c>
      <c r="T281" s="152" t="str">
        <f>+VLOOKUP($L281,Data_Validation!$A:$D,1,0)</f>
        <v>459A</v>
      </c>
      <c r="U281" s="152" t="str">
        <f>+VLOOKUP($L281,Data_Validation!$A:$D,3,0)</f>
        <v>service</v>
      </c>
      <c r="V281" s="152" t="str">
        <f>+VLOOKUP($L281,Data_Validation!$A:$D,4,0)</f>
        <v>M/O Esthétique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1410</v>
      </c>
      <c r="B282" s="708" t="s">
        <v>631</v>
      </c>
      <c r="C282" s="710">
        <v>-76599.89</v>
      </c>
      <c r="D282" s="710">
        <v>0</v>
      </c>
      <c r="E282" s="710">
        <v>-76599.89</v>
      </c>
      <c r="F282" s="708" t="s">
        <v>2006</v>
      </c>
      <c r="G282" s="708" t="s">
        <v>631</v>
      </c>
      <c r="H282" s="664" t="s">
        <v>2997</v>
      </c>
      <c r="I282" s="663"/>
      <c r="J282" s="663"/>
      <c r="K282" s="663"/>
      <c r="L282" s="149" t="str">
        <f t="shared" si="20"/>
        <v>452A</v>
      </c>
      <c r="M282" s="150" t="str">
        <f t="shared" si="21"/>
        <v>VTES -VTES - Z4 30I XDR</v>
      </c>
      <c r="N282" s="151">
        <f>+IF(OR($Q282=Parametres!$G$2,$Q282=Parametres!$G$3),I282,C282)</f>
        <v>-76599.89</v>
      </c>
      <c r="O282" s="151">
        <f>+IF(OR($Q282=Parametres!$G$2,$Q282=Parametres!$G$3),J282,D282)</f>
        <v>0</v>
      </c>
      <c r="P282" s="151">
        <f>+IF(OR($Q282=Parametres!$G$2,$Q282=Parametres!$G$3),K282,E282)</f>
        <v>-76599.89</v>
      </c>
      <c r="Q282" s="150" t="str">
        <f t="shared" si="22"/>
        <v>5-Ventes</v>
      </c>
      <c r="R282" s="149" t="str">
        <f t="shared" si="23"/>
        <v>452A</v>
      </c>
      <c r="S282" s="150" t="str">
        <f t="shared" si="24"/>
        <v>_</v>
      </c>
      <c r="T282" s="152" t="str">
        <f>+VLOOKUP($L282,Data_Validation!$A:$D,1,0)</f>
        <v>452A</v>
      </c>
      <c r="U282" s="152" t="str">
        <f>+VLOOKUP($L282,Data_Validation!$A:$D,3,0)</f>
        <v>Véhicules neufs</v>
      </c>
      <c r="V282" s="152" t="str">
        <f>+VLOOKUP($L282,Data_Validation!$A:$D,4,0)</f>
        <v>Autos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2461</v>
      </c>
      <c r="B283" s="708" t="s">
        <v>624</v>
      </c>
      <c r="C283" s="710">
        <v>-76298.5</v>
      </c>
      <c r="D283" s="710">
        <v>0</v>
      </c>
      <c r="E283" s="710">
        <v>-76298.5</v>
      </c>
      <c r="F283" s="708" t="s">
        <v>2006</v>
      </c>
      <c r="G283" s="708" t="s">
        <v>624</v>
      </c>
      <c r="H283" s="664" t="s">
        <v>2997</v>
      </c>
      <c r="I283" s="663"/>
      <c r="J283" s="663"/>
      <c r="K283" s="663"/>
      <c r="L283" s="149" t="str">
        <f t="shared" si="20"/>
        <v>429A</v>
      </c>
      <c r="M283" s="150" t="str">
        <f t="shared" si="21"/>
        <v>VTES -VTES -X4 XDRIVE 40I/ X4 XDRIVE 30I</v>
      </c>
      <c r="N283" s="151">
        <f>+IF(OR($Q283=Parametres!$G$2,$Q283=Parametres!$G$3),I283,C283)</f>
        <v>-76298.5</v>
      </c>
      <c r="O283" s="151">
        <f>+IF(OR($Q283=Parametres!$G$2,$Q283=Parametres!$G$3),J283,D283)</f>
        <v>0</v>
      </c>
      <c r="P283" s="151">
        <f>+IF(OR($Q283=Parametres!$G$2,$Q283=Parametres!$G$3),K283,E283)</f>
        <v>-76298.5</v>
      </c>
      <c r="Q283" s="150" t="str">
        <f t="shared" si="22"/>
        <v>5-Ventes</v>
      </c>
      <c r="R283" s="149" t="str">
        <f t="shared" si="23"/>
        <v>429A</v>
      </c>
      <c r="S283" s="150" t="str">
        <f t="shared" si="24"/>
        <v>_</v>
      </c>
      <c r="T283" s="152" t="str">
        <f>+VLOOKUP($L283,Data_Validation!$A:$D,1,0)</f>
        <v>429A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1390</v>
      </c>
      <c r="B284" s="708" t="s">
        <v>1016</v>
      </c>
      <c r="C284" s="710">
        <v>-73944.25</v>
      </c>
      <c r="D284" s="710">
        <v>-6673.85</v>
      </c>
      <c r="E284" s="710">
        <v>-80618.100000000006</v>
      </c>
      <c r="F284" s="708" t="s">
        <v>2006</v>
      </c>
      <c r="G284" s="708" t="s">
        <v>625</v>
      </c>
      <c r="H284" s="664" t="s">
        <v>2997</v>
      </c>
      <c r="I284" s="663"/>
      <c r="J284" s="663"/>
      <c r="K284" s="663"/>
      <c r="L284" s="149" t="str">
        <f t="shared" si="20"/>
        <v>430C</v>
      </c>
      <c r="M284" s="150" t="str">
        <f t="shared" si="21"/>
        <v>VTE - ACCESSOIRES NEUFS BMW AUTO</v>
      </c>
      <c r="N284" s="151">
        <f>+IF(OR($Q284=Parametres!$G$2,$Q284=Parametres!$G$3),I284,C284)</f>
        <v>-73944.25</v>
      </c>
      <c r="O284" s="151">
        <f>+IF(OR($Q284=Parametres!$G$2,$Q284=Parametres!$G$3),J284,D284)</f>
        <v>-6673.85</v>
      </c>
      <c r="P284" s="151">
        <f>+IF(OR($Q284=Parametres!$G$2,$Q284=Parametres!$G$3),K284,E284)</f>
        <v>-80618.100000000006</v>
      </c>
      <c r="Q284" s="150" t="str">
        <f t="shared" si="22"/>
        <v>5-Ventes</v>
      </c>
      <c r="R284" s="149" t="str">
        <f t="shared" si="23"/>
        <v>430</v>
      </c>
      <c r="S284" s="150" t="str">
        <f t="shared" si="24"/>
        <v>_</v>
      </c>
      <c r="T284" s="152" t="str">
        <f>+VLOOKUP($L284,Data_Validation!$A:$D,1,0)</f>
        <v>430C</v>
      </c>
      <c r="U284" s="152" t="str">
        <f>+VLOOKUP($L284,Data_Validation!$A:$D,3,0)</f>
        <v>Véhicules neufs</v>
      </c>
      <c r="V284" s="152" t="str">
        <f>+VLOOKUP($L284,Data_Validation!$A:$D,4,0)</f>
        <v>Rev. Autres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2145</v>
      </c>
      <c r="B285" s="708" t="s">
        <v>2146</v>
      </c>
      <c r="C285" s="710">
        <v>-73768.009999999995</v>
      </c>
      <c r="D285" s="710">
        <v>-9510.09</v>
      </c>
      <c r="E285" s="710">
        <v>-83278.100000000006</v>
      </c>
      <c r="F285" s="708" t="s">
        <v>2006</v>
      </c>
      <c r="G285" s="708" t="s">
        <v>2360</v>
      </c>
      <c r="H285" s="664" t="s">
        <v>2997</v>
      </c>
      <c r="I285" s="663"/>
      <c r="J285" s="663"/>
      <c r="K285" s="663"/>
      <c r="L285" s="149" t="str">
        <f t="shared" si="20"/>
        <v>454A</v>
      </c>
      <c r="M285" s="150" t="str">
        <f t="shared" si="21"/>
        <v>VTES -CONT ENTRET USAGE BMW NON-CERT</v>
      </c>
      <c r="N285" s="151">
        <f>+IF(OR($Q285=Parametres!$G$2,$Q285=Parametres!$G$3),I285,C285)</f>
        <v>-73768.009999999995</v>
      </c>
      <c r="O285" s="151">
        <f>+IF(OR($Q285=Parametres!$G$2,$Q285=Parametres!$G$3),J285,D285)</f>
        <v>-9510.09</v>
      </c>
      <c r="P285" s="151">
        <f>+IF(OR($Q285=Parametres!$G$2,$Q285=Parametres!$G$3),K285,E285)</f>
        <v>-83278.100000000006</v>
      </c>
      <c r="Q285" s="150" t="str">
        <f t="shared" si="22"/>
        <v>5-Ventes</v>
      </c>
      <c r="R285" s="149" t="str">
        <f t="shared" si="23"/>
        <v>454</v>
      </c>
      <c r="S285" s="150" t="str">
        <f t="shared" si="24"/>
        <v>_</v>
      </c>
      <c r="T285" s="152" t="str">
        <f>+VLOOKUP($L285,Data_Validation!$A:$D,1,0)</f>
        <v>454A</v>
      </c>
      <c r="U285" s="152" t="str">
        <f>+VLOOKUP($L285,Data_Validation!$A:$D,3,0)</f>
        <v>Véhicules usagés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1373</v>
      </c>
      <c r="B286" s="708" t="s">
        <v>610</v>
      </c>
      <c r="C286" s="710">
        <v>-71130.86</v>
      </c>
      <c r="D286" s="710">
        <v>0</v>
      </c>
      <c r="E286" s="710">
        <v>-71130.86</v>
      </c>
      <c r="F286" s="708" t="s">
        <v>2006</v>
      </c>
      <c r="G286" s="708" t="s">
        <v>610</v>
      </c>
      <c r="H286" s="664" t="s">
        <v>2997</v>
      </c>
      <c r="I286" s="663"/>
      <c r="J286" s="663"/>
      <c r="K286" s="663"/>
      <c r="L286" s="149" t="str">
        <f t="shared" si="20"/>
        <v>406G</v>
      </c>
      <c r="M286" s="150" t="str">
        <f t="shared" si="21"/>
        <v>VTES -VTE - M240I XDRIVE COUPE</v>
      </c>
      <c r="N286" s="151">
        <f>+IF(OR($Q286=Parametres!$G$2,$Q286=Parametres!$G$3),I286,C286)</f>
        <v>-71130.86</v>
      </c>
      <c r="O286" s="151">
        <f>+IF(OR($Q286=Parametres!$G$2,$Q286=Parametres!$G$3),J286,D286)</f>
        <v>0</v>
      </c>
      <c r="P286" s="151">
        <f>+IF(OR($Q286=Parametres!$G$2,$Q286=Parametres!$G$3),K286,E286)</f>
        <v>-71130.86</v>
      </c>
      <c r="Q286" s="150" t="str">
        <f t="shared" si="22"/>
        <v>5-Ventes</v>
      </c>
      <c r="R286" s="149" t="str">
        <f t="shared" si="23"/>
        <v>406G</v>
      </c>
      <c r="S286" s="150" t="str">
        <f t="shared" si="24"/>
        <v>_</v>
      </c>
      <c r="T286" s="152" t="str">
        <f>+VLOOKUP($L286,Data_Validation!$A:$D,1,0)</f>
        <v>406G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1378</v>
      </c>
      <c r="B287" s="708" t="s">
        <v>1379</v>
      </c>
      <c r="C287" s="710">
        <v>-69008.5</v>
      </c>
      <c r="D287" s="710">
        <v>0</v>
      </c>
      <c r="E287" s="710">
        <v>-69008.5</v>
      </c>
      <c r="F287" s="708" t="s">
        <v>2006</v>
      </c>
      <c r="G287" s="708" t="s">
        <v>1379</v>
      </c>
      <c r="H287" s="664" t="s">
        <v>2997</v>
      </c>
      <c r="I287" s="664"/>
      <c r="J287" s="664"/>
      <c r="K287" s="664"/>
      <c r="L287" s="149" t="str">
        <f t="shared" si="20"/>
        <v>414D</v>
      </c>
      <c r="M287" s="501" t="str">
        <f t="shared" si="21"/>
        <v>VTES -VTE - 430I XDRIVE GRAN COUPE</v>
      </c>
      <c r="N287" s="151">
        <f>+IF(OR($Q287=Parametres!$G$2,$Q287=Parametres!$G$3),I287,C287)</f>
        <v>-69008.5</v>
      </c>
      <c r="O287" s="502">
        <f>+IF(OR($Q287=Parametres!$G$2,$Q287=Parametres!$G$3),J287,D287)</f>
        <v>0</v>
      </c>
      <c r="P287" s="503">
        <f>+IF(OR($Q287=Parametres!$G$2,$Q287=Parametres!$G$3),K287,E287)</f>
        <v>-69008.5</v>
      </c>
      <c r="Q287" s="150" t="str">
        <f t="shared" si="22"/>
        <v>5-Ventes</v>
      </c>
      <c r="R287" s="149" t="str">
        <f t="shared" si="23"/>
        <v>414D</v>
      </c>
      <c r="S287" s="150" t="str">
        <f t="shared" si="24"/>
        <v>_</v>
      </c>
      <c r="T287" s="152" t="str">
        <f>+VLOOKUP($L287,Data_Validation!$A:$D,1,0)</f>
        <v>414D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1150</v>
      </c>
      <c r="B288" s="662" t="s">
        <v>1151</v>
      </c>
      <c r="C288" s="663">
        <v>-63144.21</v>
      </c>
      <c r="D288" s="663">
        <v>-7526.21</v>
      </c>
      <c r="E288" s="663">
        <v>-70670.42</v>
      </c>
      <c r="F288" s="662" t="s">
        <v>2006</v>
      </c>
      <c r="G288" s="662" t="s">
        <v>445</v>
      </c>
      <c r="H288" s="657" t="s">
        <v>2997</v>
      </c>
      <c r="I288" s="656"/>
      <c r="J288" s="656"/>
      <c r="K288" s="656"/>
      <c r="L288" s="149" t="str">
        <f t="shared" si="20"/>
        <v>489B</v>
      </c>
      <c r="M288" s="150" t="str">
        <f t="shared" si="21"/>
        <v>VTE - HUILE &amp; GRAISSE</v>
      </c>
      <c r="N288" s="151">
        <f>+IF(OR($Q288=Parametres!$G$2,$Q288=Parametres!$G$3),I288,C288)</f>
        <v>-63144.21</v>
      </c>
      <c r="O288" s="151">
        <f>+IF(OR($Q288=Parametres!$G$2,$Q288=Parametres!$G$3),J288,D288)</f>
        <v>-7526.21</v>
      </c>
      <c r="P288" s="151">
        <f>+IF(OR($Q288=Parametres!$G$2,$Q288=Parametres!$G$3),K288,E288)</f>
        <v>-70670.42</v>
      </c>
      <c r="Q288" s="150" t="str">
        <f t="shared" si="22"/>
        <v>5-Ventes</v>
      </c>
      <c r="R288" s="149" t="str">
        <f t="shared" si="23"/>
        <v>489A</v>
      </c>
      <c r="S288" s="150" t="str">
        <f t="shared" si="24"/>
        <v>_</v>
      </c>
      <c r="T288" s="152" t="str">
        <f>+VLOOKUP($L288,Data_Validation!$A:$D,1,0)</f>
        <v>489B</v>
      </c>
      <c r="U288" s="152" t="str">
        <f>+VLOOKUP($L288,Data_Validation!$A:$D,3,0)</f>
        <v>pièces</v>
      </c>
      <c r="V288" s="152" t="str">
        <f>+VLOOKUP($L288,Data_Validation!$A:$D,4,0)</f>
        <v>Huiles et Graisse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1141</v>
      </c>
      <c r="B289" s="708" t="s">
        <v>435</v>
      </c>
      <c r="C289" s="710">
        <v>-62707.44</v>
      </c>
      <c r="D289" s="710">
        <v>-8156.73</v>
      </c>
      <c r="E289" s="710">
        <v>-70864.17</v>
      </c>
      <c r="F289" s="708" t="s">
        <v>2006</v>
      </c>
      <c r="G289" s="708" t="s">
        <v>441</v>
      </c>
      <c r="H289" s="664" t="s">
        <v>2997</v>
      </c>
      <c r="I289" s="663"/>
      <c r="J289" s="663"/>
      <c r="K289" s="663"/>
      <c r="L289" s="149" t="str">
        <f t="shared" si="20"/>
        <v>461E</v>
      </c>
      <c r="M289" s="150" t="str">
        <f t="shared" si="21"/>
        <v>VTE - M/O ENTRETIEN BMW CAMION</v>
      </c>
      <c r="N289" s="151">
        <f>+IF(OR($Q289=Parametres!$G$2,$Q289=Parametres!$G$3),I289,C289)</f>
        <v>-62707.44</v>
      </c>
      <c r="O289" s="151">
        <f>+IF(OR($Q289=Parametres!$G$2,$Q289=Parametres!$G$3),J289,D289)</f>
        <v>-8156.73</v>
      </c>
      <c r="P289" s="151">
        <f>+IF(OR($Q289=Parametres!$G$2,$Q289=Parametres!$G$3),K289,E289)</f>
        <v>-70864.17</v>
      </c>
      <c r="Q289" s="150" t="str">
        <f t="shared" si="22"/>
        <v>5-Ventes</v>
      </c>
      <c r="R289" s="149" t="str">
        <f t="shared" si="23"/>
        <v>461D</v>
      </c>
      <c r="S289" s="150" t="str">
        <f t="shared" si="24"/>
        <v>_</v>
      </c>
      <c r="T289" s="152" t="str">
        <f>+VLOOKUP($L289,Data_Validation!$A:$D,1,0)</f>
        <v>461E</v>
      </c>
      <c r="U289" s="152" t="str">
        <f>+VLOOKUP($L289,Data_Validation!$A:$D,3,0)</f>
        <v>service</v>
      </c>
      <c r="V289" s="152" t="str">
        <f>+VLOOKUP($L289,Data_Validation!$A:$D,4,0)</f>
        <v>M/O Garantie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1146</v>
      </c>
      <c r="B290" s="708" t="s">
        <v>445</v>
      </c>
      <c r="C290" s="709">
        <v>-55657.49</v>
      </c>
      <c r="D290" s="709">
        <v>-4861.47</v>
      </c>
      <c r="E290" s="709">
        <v>-60518.96</v>
      </c>
      <c r="F290" s="708" t="s">
        <v>2006</v>
      </c>
      <c r="G290" s="708" t="s">
        <v>445</v>
      </c>
      <c r="H290" s="709" t="s">
        <v>2997</v>
      </c>
      <c r="I290" s="710"/>
      <c r="J290" s="710"/>
      <c r="K290" s="710"/>
      <c r="L290" s="149" t="str">
        <f t="shared" si="20"/>
        <v>489A</v>
      </c>
      <c r="M290" s="150" t="str">
        <f t="shared" si="21"/>
        <v>VTE - HUILES &amp; GRAISSES</v>
      </c>
      <c r="N290" s="151">
        <f>+IF(OR($Q290=Parametres!$G$2,$Q290=Parametres!$G$3),I290,C290)</f>
        <v>-55657.49</v>
      </c>
      <c r="O290" s="151">
        <f>+IF(OR($Q290=Parametres!$G$2,$Q290=Parametres!$G$3),J290,D290)</f>
        <v>-4861.47</v>
      </c>
      <c r="P290" s="151">
        <f>+IF(OR($Q290=Parametres!$G$2,$Q290=Parametres!$G$3),K290,E290)</f>
        <v>-60518.96</v>
      </c>
      <c r="Q290" s="150" t="str">
        <f t="shared" si="22"/>
        <v>5-Ventes</v>
      </c>
      <c r="R290" s="149" t="str">
        <f t="shared" si="23"/>
        <v>489A</v>
      </c>
      <c r="S290" s="150" t="str">
        <f t="shared" si="24"/>
        <v>_</v>
      </c>
      <c r="T290" s="152" t="str">
        <f>+VLOOKUP($L290,Data_Validation!$A:$D,1,0)</f>
        <v>489A</v>
      </c>
      <c r="U290" s="152" t="str">
        <f>+VLOOKUP($L290,Data_Validation!$A:$D,3,0)</f>
        <v>pièces</v>
      </c>
      <c r="V290" s="152" t="str">
        <f>+VLOOKUP($L290,Data_Validation!$A:$D,4,0)</f>
        <v>Huiles et Graisse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1149</v>
      </c>
      <c r="B291" s="708" t="s">
        <v>464</v>
      </c>
      <c r="C291" s="710">
        <v>-52297.09</v>
      </c>
      <c r="D291" s="710">
        <v>-6854.7</v>
      </c>
      <c r="E291" s="710">
        <v>-59151.79</v>
      </c>
      <c r="F291" s="708" t="s">
        <v>2006</v>
      </c>
      <c r="G291" s="708" t="s">
        <v>434</v>
      </c>
      <c r="H291" s="664" t="s">
        <v>2997</v>
      </c>
      <c r="I291" s="664"/>
      <c r="J291" s="664"/>
      <c r="K291" s="664"/>
      <c r="L291" s="149" t="str">
        <f t="shared" si="20"/>
        <v>472E</v>
      </c>
      <c r="M291" s="150" t="str">
        <f t="shared" si="21"/>
        <v>VTE - PIECES ENTRETIEN BMW CAMION</v>
      </c>
      <c r="N291" s="151">
        <f>+IF(OR($Q291=Parametres!$G$2,$Q291=Parametres!$G$3),I291,C291)</f>
        <v>-52297.09</v>
      </c>
      <c r="O291" s="151">
        <f>+IF(OR($Q291=Parametres!$G$2,$Q291=Parametres!$G$3),J291,D291)</f>
        <v>-6854.7</v>
      </c>
      <c r="P291" s="151">
        <f>+IF(OR($Q291=Parametres!$G$2,$Q291=Parametres!$G$3),K291,E291)</f>
        <v>-59151.79</v>
      </c>
      <c r="Q291" s="150" t="str">
        <f t="shared" si="22"/>
        <v>5-Ventes</v>
      </c>
      <c r="R291" s="149" t="str">
        <f t="shared" si="23"/>
        <v>472D</v>
      </c>
      <c r="S291" s="150" t="str">
        <f t="shared" si="24"/>
        <v>_</v>
      </c>
      <c r="T291" s="152" t="str">
        <f>+VLOOKUP($L291,Data_Validation!$A:$D,1,0)</f>
        <v>472E</v>
      </c>
      <c r="U291" s="152" t="str">
        <f>+VLOOKUP($L291,Data_Validation!$A:$D,3,0)</f>
        <v>pièces</v>
      </c>
      <c r="V291" s="152" t="str">
        <f>+VLOOKUP($L291,Data_Validation!$A:$D,4,0)</f>
        <v>P/A Garantie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1018</v>
      </c>
      <c r="B292" s="708" t="s">
        <v>471</v>
      </c>
      <c r="C292" s="710">
        <v>-49937.31</v>
      </c>
      <c r="D292" s="710">
        <v>-5896.1</v>
      </c>
      <c r="E292" s="710">
        <v>-55833.41</v>
      </c>
      <c r="F292" s="708" t="s">
        <v>2006</v>
      </c>
      <c r="G292" s="708" t="s">
        <v>1139</v>
      </c>
      <c r="H292" s="664" t="s">
        <v>2997</v>
      </c>
      <c r="I292" s="663"/>
      <c r="J292" s="663"/>
      <c r="K292" s="663"/>
      <c r="L292" s="149" t="str">
        <f t="shared" si="20"/>
        <v>462D</v>
      </c>
      <c r="M292" s="150" t="str">
        <f t="shared" si="21"/>
        <v>VTE - M/O INTERNE BMW I</v>
      </c>
      <c r="N292" s="151">
        <f>+IF(OR($Q292=Parametres!$G$2,$Q292=Parametres!$G$3),I292,C292)</f>
        <v>-49937.31</v>
      </c>
      <c r="O292" s="151">
        <f>+IF(OR($Q292=Parametres!$G$2,$Q292=Parametres!$G$3),J292,D292)</f>
        <v>-5896.1</v>
      </c>
      <c r="P292" s="151">
        <f>+IF(OR($Q292=Parametres!$G$2,$Q292=Parametres!$G$3),K292,E292)</f>
        <v>-55833.41</v>
      </c>
      <c r="Q292" s="150" t="str">
        <f t="shared" si="22"/>
        <v>5-Ventes</v>
      </c>
      <c r="R292" s="149" t="str">
        <f t="shared" si="23"/>
        <v>462A</v>
      </c>
      <c r="S292" s="150" t="str">
        <f t="shared" si="24"/>
        <v>_</v>
      </c>
      <c r="T292" s="152" t="str">
        <f>+VLOOKUP($L292,Data_Validation!$A:$D,1,0)</f>
        <v>462D</v>
      </c>
      <c r="U292" s="152" t="str">
        <f>+VLOOKUP($L292,Data_Validation!$A:$D,3,0)</f>
        <v>service</v>
      </c>
      <c r="V292" s="152" t="str">
        <f>+VLOOKUP($L292,Data_Validation!$A:$D,4,0)</f>
        <v>M/O Interne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1154</v>
      </c>
      <c r="B293" s="662" t="s">
        <v>1143</v>
      </c>
      <c r="C293" s="663">
        <v>-49018.04</v>
      </c>
      <c r="D293" s="663">
        <v>0</v>
      </c>
      <c r="E293" s="663">
        <v>-49018.04</v>
      </c>
      <c r="F293" s="662" t="s">
        <v>2006</v>
      </c>
      <c r="G293" s="662" t="s">
        <v>1143</v>
      </c>
      <c r="H293" s="657" t="s">
        <v>2997</v>
      </c>
      <c r="I293" s="656"/>
      <c r="J293" s="656"/>
      <c r="K293" s="656"/>
      <c r="L293" s="149" t="str">
        <f t="shared" si="20"/>
        <v>463A</v>
      </c>
      <c r="M293" s="150" t="str">
        <f t="shared" si="21"/>
        <v>VTE - SOUS-TRAITANCE BMW AUTO</v>
      </c>
      <c r="N293" s="151">
        <f>+IF(OR($Q293=Parametres!$G$2,$Q293=Parametres!$G$3),I293,C293)</f>
        <v>-49018.04</v>
      </c>
      <c r="O293" s="151">
        <f>+IF(OR($Q293=Parametres!$G$2,$Q293=Parametres!$G$3),J293,D293)</f>
        <v>0</v>
      </c>
      <c r="P293" s="151">
        <f>+IF(OR($Q293=Parametres!$G$2,$Q293=Parametres!$G$3),K293,E293)</f>
        <v>-49018.04</v>
      </c>
      <c r="Q293" s="150" t="str">
        <f t="shared" si="22"/>
        <v>5-Ventes</v>
      </c>
      <c r="R293" s="149" t="str">
        <f t="shared" si="23"/>
        <v>463A</v>
      </c>
      <c r="S293" s="150" t="str">
        <f t="shared" si="24"/>
        <v>_</v>
      </c>
      <c r="T293" s="152" t="str">
        <f>+VLOOKUP($L293,Data_Validation!$A:$D,1,0)</f>
        <v>463A</v>
      </c>
      <c r="U293" s="152" t="str">
        <f>+VLOOKUP($L293,Data_Validation!$A:$D,3,0)</f>
        <v>service</v>
      </c>
      <c r="V293" s="152" t="str">
        <f>+VLOOKUP($L293,Data_Validation!$A:$D,4,0)</f>
        <v>Sous-traitement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1945</v>
      </c>
      <c r="B294" s="662" t="s">
        <v>1946</v>
      </c>
      <c r="C294" s="663">
        <v>-45468.7</v>
      </c>
      <c r="D294" s="663">
        <v>0</v>
      </c>
      <c r="E294" s="663">
        <v>-45468.7</v>
      </c>
      <c r="F294" s="662" t="s">
        <v>2006</v>
      </c>
      <c r="G294" s="662" t="s">
        <v>625</v>
      </c>
      <c r="H294" s="657" t="s">
        <v>2997</v>
      </c>
      <c r="I294" s="656"/>
      <c r="J294" s="656"/>
      <c r="K294" s="656"/>
      <c r="L294" s="149" t="str">
        <f t="shared" si="20"/>
        <v>430R</v>
      </c>
      <c r="M294" s="150" t="str">
        <f t="shared" si="21"/>
        <v>VTE - ASS. REMP. NEUF BMW AUTO</v>
      </c>
      <c r="N294" s="151">
        <f>+IF(OR($Q294=Parametres!$G$2,$Q294=Parametres!$G$3),I294,C294)</f>
        <v>-45468.7</v>
      </c>
      <c r="O294" s="151">
        <f>+IF(OR($Q294=Parametres!$G$2,$Q294=Parametres!$G$3),J294,D294)</f>
        <v>0</v>
      </c>
      <c r="P294" s="151">
        <f>+IF(OR($Q294=Parametres!$G$2,$Q294=Parametres!$G$3),K294,E294)</f>
        <v>-45468.7</v>
      </c>
      <c r="Q294" s="150" t="str">
        <f t="shared" si="22"/>
        <v>5-Ventes</v>
      </c>
      <c r="R294" s="149" t="str">
        <f t="shared" si="23"/>
        <v>430</v>
      </c>
      <c r="S294" s="150" t="str">
        <f t="shared" si="24"/>
        <v>_</v>
      </c>
      <c r="T294" s="152" t="str">
        <f>+VLOOKUP($L294,Data_Validation!$A:$D,1,0)</f>
        <v>430R</v>
      </c>
      <c r="U294" s="152" t="str">
        <f>+VLOOKUP($L294,Data_Validation!$A:$D,3,0)</f>
        <v>Véhicules neufs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3003</v>
      </c>
      <c r="B295" s="662" t="s">
        <v>1199</v>
      </c>
      <c r="C295" s="663">
        <v>-44100.85</v>
      </c>
      <c r="D295" s="663">
        <v>0</v>
      </c>
      <c r="E295" s="663">
        <v>-44100.85</v>
      </c>
      <c r="F295" s="662" t="s">
        <v>2006</v>
      </c>
      <c r="G295" s="662" t="s">
        <v>625</v>
      </c>
      <c r="H295" s="657" t="s">
        <v>2997</v>
      </c>
      <c r="I295" s="656"/>
      <c r="J295" s="656"/>
      <c r="K295" s="656"/>
      <c r="L295" s="149" t="str">
        <f t="shared" si="20"/>
        <v>430T</v>
      </c>
      <c r="M295" s="150" t="str">
        <f t="shared" si="21"/>
        <v>VTES -VTE - TRAITEMENT PROTECTION NEUF BMW AU</v>
      </c>
      <c r="N295" s="151">
        <f>+IF(OR($Q295=Parametres!$G$2,$Q295=Parametres!$G$3),I295,C295)</f>
        <v>-44100.85</v>
      </c>
      <c r="O295" s="151">
        <f>+IF(OR($Q295=Parametres!$G$2,$Q295=Parametres!$G$3),J295,D295)</f>
        <v>0</v>
      </c>
      <c r="P295" s="151">
        <f>+IF(OR($Q295=Parametres!$G$2,$Q295=Parametres!$G$3),K295,E295)</f>
        <v>-44100.85</v>
      </c>
      <c r="Q295" s="150" t="str">
        <f t="shared" si="22"/>
        <v>5-Ventes</v>
      </c>
      <c r="R295" s="149" t="str">
        <f t="shared" si="23"/>
        <v>430</v>
      </c>
      <c r="S295" s="150" t="str">
        <f t="shared" si="24"/>
        <v>_</v>
      </c>
      <c r="T295" s="152" t="str">
        <f>+VLOOKUP($L295,Data_Validation!$A:$D,1,0)</f>
        <v>430T</v>
      </c>
      <c r="U295" s="152" t="str">
        <f>+VLOOKUP($L295,Data_Validation!$A:$D,3,0)</f>
        <v>Véhicules neufs</v>
      </c>
      <c r="V295" s="152" t="str">
        <f>+VLOOKUP($L295,Data_Validation!$A:$D,4,0)</f>
        <v>Rev. Autres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1013</v>
      </c>
      <c r="B296" s="708" t="s">
        <v>458</v>
      </c>
      <c r="C296" s="710">
        <v>-44005.2</v>
      </c>
      <c r="D296" s="710">
        <v>-13461.44</v>
      </c>
      <c r="E296" s="710">
        <v>-57466.64</v>
      </c>
      <c r="F296" s="708" t="s">
        <v>2006</v>
      </c>
      <c r="G296" s="708" t="s">
        <v>1116</v>
      </c>
      <c r="H296" s="657" t="s">
        <v>2997</v>
      </c>
      <c r="I296" s="656"/>
      <c r="J296" s="656"/>
      <c r="K296" s="656"/>
      <c r="L296" s="149" t="str">
        <f t="shared" si="20"/>
        <v>460D</v>
      </c>
      <c r="M296" s="150" t="str">
        <f t="shared" si="21"/>
        <v>VTE - M/O CLIENT BMW I</v>
      </c>
      <c r="N296" s="151">
        <f>+IF(OR($Q296=Parametres!$G$2,$Q296=Parametres!$G$3),I296,C296)</f>
        <v>-44005.2</v>
      </c>
      <c r="O296" s="151">
        <f>+IF(OR($Q296=Parametres!$G$2,$Q296=Parametres!$G$3),J296,D296)</f>
        <v>-13461.44</v>
      </c>
      <c r="P296" s="151">
        <f>+IF(OR($Q296=Parametres!$G$2,$Q296=Parametres!$G$3),K296,E296)</f>
        <v>-57466.64</v>
      </c>
      <c r="Q296" s="150" t="str">
        <f t="shared" si="22"/>
        <v>5-Ventes</v>
      </c>
      <c r="R296" s="149" t="str">
        <f t="shared" si="23"/>
        <v>460A</v>
      </c>
      <c r="S296" s="150" t="str">
        <f t="shared" si="24"/>
        <v>_</v>
      </c>
      <c r="T296" s="152" t="str">
        <f>+VLOOKUP($L296,Data_Validation!$A:$D,1,0)</f>
        <v>460D</v>
      </c>
      <c r="U296" s="152" t="str">
        <f>+VLOOKUP($L296,Data_Validation!$A:$D,3,0)</f>
        <v>service</v>
      </c>
      <c r="V296" s="152" t="str">
        <f>+VLOOKUP($L296,Data_Validation!$A:$D,4,0)</f>
        <v>M/O Client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1133</v>
      </c>
      <c r="B297" s="662" t="s">
        <v>425</v>
      </c>
      <c r="C297" s="663">
        <v>-43450.45</v>
      </c>
      <c r="D297" s="663">
        <v>-5643.36</v>
      </c>
      <c r="E297" s="663">
        <v>-49093.81</v>
      </c>
      <c r="F297" s="662" t="s">
        <v>2006</v>
      </c>
      <c r="G297" s="662" t="s">
        <v>1118</v>
      </c>
      <c r="H297" s="657" t="s">
        <v>2997</v>
      </c>
      <c r="I297" s="656"/>
      <c r="J297" s="656"/>
      <c r="K297" s="656"/>
      <c r="L297" s="149" t="str">
        <f t="shared" si="20"/>
        <v>474E</v>
      </c>
      <c r="M297" s="150" t="str">
        <f t="shared" si="21"/>
        <v>VTE - PIECES COMP. BMW ACCESSOIRE</v>
      </c>
      <c r="N297" s="151">
        <f>+IF(OR($Q297=Parametres!$G$2,$Q297=Parametres!$G$3),I297,C297)</f>
        <v>-43450.45</v>
      </c>
      <c r="O297" s="151">
        <f>+IF(OR($Q297=Parametres!$G$2,$Q297=Parametres!$G$3),J297,D297)</f>
        <v>-5643.36</v>
      </c>
      <c r="P297" s="151">
        <f>+IF(OR($Q297=Parametres!$G$2,$Q297=Parametres!$G$3),K297,E297)</f>
        <v>-49093.81</v>
      </c>
      <c r="Q297" s="150" t="str">
        <f t="shared" si="22"/>
        <v>5-Ventes</v>
      </c>
      <c r="R297" s="149" t="str">
        <f t="shared" si="23"/>
        <v>474A</v>
      </c>
      <c r="S297" s="150" t="str">
        <f t="shared" si="24"/>
        <v>_</v>
      </c>
      <c r="T297" s="152" t="str">
        <f>+VLOOKUP($L297,Data_Validation!$A:$D,1,0)</f>
        <v>474E</v>
      </c>
      <c r="U297" s="152" t="str">
        <f>+VLOOKUP($L297,Data_Validation!$A:$D,3,0)</f>
        <v>pièces</v>
      </c>
      <c r="V297" s="152" t="str">
        <f>+VLOOKUP($L297,Data_Validation!$A:$D,4,0)</f>
        <v>Ventes Détails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1225</v>
      </c>
      <c r="B298" s="708" t="s">
        <v>468</v>
      </c>
      <c r="C298" s="710">
        <v>-40389.67</v>
      </c>
      <c r="D298" s="710">
        <v>-3980.43</v>
      </c>
      <c r="E298" s="710">
        <v>-44370.1</v>
      </c>
      <c r="F298" s="708" t="s">
        <v>2006</v>
      </c>
      <c r="G298" s="708" t="s">
        <v>1110</v>
      </c>
      <c r="H298" s="657" t="s">
        <v>2997</v>
      </c>
      <c r="I298" s="656"/>
      <c r="J298" s="656"/>
      <c r="K298" s="656"/>
      <c r="L298" s="149" t="str">
        <f t="shared" si="20"/>
        <v>461H</v>
      </c>
      <c r="M298" s="150" t="str">
        <f t="shared" si="21"/>
        <v>VTE - M/O GARANTIE BMW</v>
      </c>
      <c r="N298" s="151">
        <f>+IF(OR($Q298=Parametres!$G$2,$Q298=Parametres!$G$3),I298,C298)</f>
        <v>-40389.67</v>
      </c>
      <c r="O298" s="151">
        <f>+IF(OR($Q298=Parametres!$G$2,$Q298=Parametres!$G$3),J298,D298)</f>
        <v>-3980.43</v>
      </c>
      <c r="P298" s="151">
        <f>+IF(OR($Q298=Parametres!$G$2,$Q298=Parametres!$G$3),K298,E298)</f>
        <v>-44370.1</v>
      </c>
      <c r="Q298" s="150" t="str">
        <f t="shared" si="22"/>
        <v>5-Ventes</v>
      </c>
      <c r="R298" s="149" t="str">
        <f t="shared" si="23"/>
        <v>461A</v>
      </c>
      <c r="S298" s="150" t="str">
        <f t="shared" si="24"/>
        <v>_</v>
      </c>
      <c r="T298" s="152" t="str">
        <f>+VLOOKUP($L298,Data_Validation!$A:$D,1,0)</f>
        <v>461H</v>
      </c>
      <c r="U298" s="152" t="str">
        <f>+VLOOKUP($L298,Data_Validation!$A:$D,3,0)</f>
        <v>service</v>
      </c>
      <c r="V298" s="152" t="str">
        <f>+VLOOKUP($L298,Data_Validation!$A:$D,4,0)</f>
        <v>M/O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1160</v>
      </c>
      <c r="B299" s="708" t="s">
        <v>441</v>
      </c>
      <c r="C299" s="710">
        <v>-33164.46</v>
      </c>
      <c r="D299" s="710">
        <v>-2009</v>
      </c>
      <c r="E299" s="710">
        <v>-35173.46</v>
      </c>
      <c r="F299" s="708" t="s">
        <v>2006</v>
      </c>
      <c r="G299" s="708" t="s">
        <v>441</v>
      </c>
      <c r="H299" s="657" t="s">
        <v>2997</v>
      </c>
      <c r="I299" s="656"/>
      <c r="J299" s="656"/>
      <c r="K299" s="656"/>
      <c r="L299" s="149" t="str">
        <f t="shared" si="20"/>
        <v>461D</v>
      </c>
      <c r="M299" s="150" t="str">
        <f t="shared" si="21"/>
        <v>VTE - M/O ENTRETIEN BMW AUTO</v>
      </c>
      <c r="N299" s="151">
        <f>+IF(OR($Q299=Parametres!$G$2,$Q299=Parametres!$G$3),I299,C299)</f>
        <v>-33164.46</v>
      </c>
      <c r="O299" s="151">
        <f>+IF(OR($Q299=Parametres!$G$2,$Q299=Parametres!$G$3),J299,D299)</f>
        <v>-2009</v>
      </c>
      <c r="P299" s="151">
        <f>+IF(OR($Q299=Parametres!$G$2,$Q299=Parametres!$G$3),K299,E299)</f>
        <v>-35173.46</v>
      </c>
      <c r="Q299" s="150" t="str">
        <f t="shared" si="22"/>
        <v>5-Ventes</v>
      </c>
      <c r="R299" s="149" t="str">
        <f t="shared" si="23"/>
        <v>461D</v>
      </c>
      <c r="S299" s="150" t="str">
        <f t="shared" si="24"/>
        <v>_</v>
      </c>
      <c r="T299" s="152" t="str">
        <f>+VLOOKUP($L299,Data_Validation!$A:$D,1,0)</f>
        <v>461D</v>
      </c>
      <c r="U299" s="152" t="str">
        <f>+VLOOKUP($L299,Data_Validation!$A:$D,3,0)</f>
        <v>service</v>
      </c>
      <c r="V299" s="152" t="str">
        <f>+VLOOKUP($L299,Data_Validation!$A:$D,4,0)</f>
        <v>M/O Garantie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1405</v>
      </c>
      <c r="B300" s="708" t="s">
        <v>1406</v>
      </c>
      <c r="C300" s="710">
        <v>-26749.52</v>
      </c>
      <c r="D300" s="710">
        <v>0</v>
      </c>
      <c r="E300" s="710">
        <v>-26749.52</v>
      </c>
      <c r="F300" s="708" t="s">
        <v>2006</v>
      </c>
      <c r="G300" s="708" t="s">
        <v>1012</v>
      </c>
      <c r="H300" s="664" t="s">
        <v>2997</v>
      </c>
      <c r="I300" s="663"/>
      <c r="J300" s="663"/>
      <c r="K300" s="663"/>
      <c r="L300" s="149" t="str">
        <f t="shared" si="20"/>
        <v>450V</v>
      </c>
      <c r="M300" s="150" t="str">
        <f t="shared" si="21"/>
        <v>VTES -VTE - ASS VIE/INV USAGE BMW CERT</v>
      </c>
      <c r="N300" s="151">
        <f>+IF(OR($Q300=Parametres!$G$2,$Q300=Parametres!$G$3),I300,C300)</f>
        <v>-26749.52</v>
      </c>
      <c r="O300" s="151">
        <f>+IF(OR($Q300=Parametres!$G$2,$Q300=Parametres!$G$3),J300,D300)</f>
        <v>0</v>
      </c>
      <c r="P300" s="151">
        <f>+IF(OR($Q300=Parametres!$G$2,$Q300=Parametres!$G$3),K300,E300)</f>
        <v>-26749.52</v>
      </c>
      <c r="Q300" s="150" t="str">
        <f t="shared" si="22"/>
        <v>5-Ventes</v>
      </c>
      <c r="R300" s="149" t="str">
        <f t="shared" si="23"/>
        <v>450</v>
      </c>
      <c r="S300" s="150" t="str">
        <f t="shared" si="24"/>
        <v>_</v>
      </c>
      <c r="T300" s="152" t="str">
        <f>+VLOOKUP($L300,Data_Validation!$A:$D,1,0)</f>
        <v>450V</v>
      </c>
      <c r="U300" s="152" t="str">
        <f>+VLOOKUP($L300,Data_Validation!$A:$D,3,0)</f>
        <v>Véhicules usagés</v>
      </c>
      <c r="V300" s="152" t="str">
        <f>+VLOOKUP($L300,Data_Validation!$A:$D,4,0)</f>
        <v>Rev. Autres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1179</v>
      </c>
      <c r="B301" s="708" t="s">
        <v>434</v>
      </c>
      <c r="C301" s="709">
        <v>-25846.69</v>
      </c>
      <c r="D301" s="709">
        <v>-1371.82</v>
      </c>
      <c r="E301" s="709">
        <v>-27218.51</v>
      </c>
      <c r="F301" s="708" t="s">
        <v>2006</v>
      </c>
      <c r="G301" s="708" t="s">
        <v>434</v>
      </c>
      <c r="H301" s="709" t="s">
        <v>2997</v>
      </c>
      <c r="I301" s="710"/>
      <c r="J301" s="710"/>
      <c r="K301" s="710"/>
      <c r="L301" s="149" t="str">
        <f t="shared" si="20"/>
        <v>472D</v>
      </c>
      <c r="M301" s="150" t="str">
        <f t="shared" si="21"/>
        <v>VTE - PIECES ENTRETIEN BMW AUTO</v>
      </c>
      <c r="N301" s="151">
        <f>+IF(OR($Q301=Parametres!$G$2,$Q301=Parametres!$G$3),I301,C301)</f>
        <v>-25846.69</v>
      </c>
      <c r="O301" s="151">
        <f>+IF(OR($Q301=Parametres!$G$2,$Q301=Parametres!$G$3),J301,D301)</f>
        <v>-1371.82</v>
      </c>
      <c r="P301" s="151">
        <f>+IF(OR($Q301=Parametres!$G$2,$Q301=Parametres!$G$3),K301,E301)</f>
        <v>-27218.51</v>
      </c>
      <c r="Q301" s="150" t="str">
        <f t="shared" si="22"/>
        <v>5-Ventes</v>
      </c>
      <c r="R301" s="149" t="str">
        <f t="shared" si="23"/>
        <v>472D</v>
      </c>
      <c r="S301" s="150" t="str">
        <f t="shared" si="24"/>
        <v>_</v>
      </c>
      <c r="T301" s="152" t="str">
        <f>+VLOOKUP($L301,Data_Validation!$A:$D,1,0)</f>
        <v>472D</v>
      </c>
      <c r="U301" s="152" t="str">
        <f>+VLOOKUP($L301,Data_Validation!$A:$D,3,0)</f>
        <v>pièces</v>
      </c>
      <c r="V301" s="152" t="str">
        <f>+VLOOKUP($L301,Data_Validation!$A:$D,4,0)</f>
        <v>P/A Garantie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-24865.040000000001</v>
      </c>
      <c r="D302" s="710">
        <v>405.18</v>
      </c>
      <c r="E302" s="710">
        <v>-24459.86</v>
      </c>
      <c r="F302" s="708" t="s">
        <v>2006</v>
      </c>
      <c r="G302" s="708" t="s">
        <v>369</v>
      </c>
      <c r="H302" s="664" t="s">
        <v>2997</v>
      </c>
      <c r="I302" s="663"/>
      <c r="J302" s="663"/>
      <c r="K302" s="663"/>
      <c r="L302" s="149" t="str">
        <f t="shared" si="20"/>
        <v>453</v>
      </c>
      <c r="M302" s="150" t="str">
        <f t="shared" si="21"/>
        <v>VTE - RIST FINANCE USAGE AUTRE</v>
      </c>
      <c r="N302" s="151">
        <f>+IF(OR($Q302=Parametres!$G$2,$Q302=Parametres!$G$3),I302,C302)</f>
        <v>-24865.040000000001</v>
      </c>
      <c r="O302" s="151">
        <f>+IF(OR($Q302=Parametres!$G$2,$Q302=Parametres!$G$3),J302,D302)</f>
        <v>405.18</v>
      </c>
      <c r="P302" s="151">
        <f>+IF(OR($Q302=Parametres!$G$2,$Q302=Parametres!$G$3),K302,E302)</f>
        <v>-24459.86</v>
      </c>
      <c r="Q302" s="150" t="str">
        <f t="shared" si="22"/>
        <v>5-Ventes</v>
      </c>
      <c r="R302" s="149" t="str">
        <f t="shared" si="23"/>
        <v>453</v>
      </c>
      <c r="S302" s="150" t="str">
        <f t="shared" si="24"/>
        <v>_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2012</v>
      </c>
      <c r="B303" s="708" t="s">
        <v>2013</v>
      </c>
      <c r="C303" s="710">
        <v>-23121.11</v>
      </c>
      <c r="D303" s="710">
        <v>0</v>
      </c>
      <c r="E303" s="710">
        <v>-23121.11</v>
      </c>
      <c r="F303" s="708" t="s">
        <v>2006</v>
      </c>
      <c r="G303" s="708" t="s">
        <v>1012</v>
      </c>
      <c r="H303" s="602" t="s">
        <v>2997</v>
      </c>
      <c r="I303" s="601"/>
      <c r="J303" s="601"/>
      <c r="K303" s="601"/>
      <c r="L303" s="149" t="str">
        <f t="shared" si="20"/>
        <v>450R</v>
      </c>
      <c r="M303" s="150" t="str">
        <f t="shared" si="21"/>
        <v>VTES -ASS. REMP. USAGE BMW CERT</v>
      </c>
      <c r="N303" s="151">
        <f>+IF(OR($Q303=Parametres!$G$2,$Q303=Parametres!$G$3),I303,C303)</f>
        <v>-23121.11</v>
      </c>
      <c r="O303" s="497">
        <f>+IF(OR($Q303=Parametres!$G$2,$Q303=Parametres!$G$3),J303,D303)</f>
        <v>0</v>
      </c>
      <c r="P303" s="151">
        <f>+IF(OR($Q303=Parametres!$G$2,$Q303=Parametres!$G$3),K303,E303)</f>
        <v>-23121.11</v>
      </c>
      <c r="Q303" s="150" t="str">
        <f t="shared" si="22"/>
        <v>5-Ventes</v>
      </c>
      <c r="R303" s="149" t="str">
        <f t="shared" si="23"/>
        <v>450</v>
      </c>
      <c r="S303" s="150" t="str">
        <f t="shared" si="24"/>
        <v>_</v>
      </c>
      <c r="T303" s="152" t="str">
        <f>+VLOOKUP($L303,Data_Validation!$A:$D,1,0)</f>
        <v>450R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1953</v>
      </c>
      <c r="B304" s="708" t="s">
        <v>1954</v>
      </c>
      <c r="C304" s="710">
        <v>-21548.98</v>
      </c>
      <c r="D304" s="710">
        <v>-2394</v>
      </c>
      <c r="E304" s="710">
        <v>-23942.98</v>
      </c>
      <c r="F304" s="708" t="s">
        <v>2006</v>
      </c>
      <c r="G304" s="708" t="s">
        <v>1012</v>
      </c>
      <c r="H304" s="664" t="s">
        <v>2997</v>
      </c>
      <c r="I304" s="663"/>
      <c r="J304" s="663"/>
      <c r="K304" s="663"/>
      <c r="L304" s="149" t="str">
        <f t="shared" si="20"/>
        <v>454M</v>
      </c>
      <c r="M304" s="150" t="str">
        <f t="shared" si="21"/>
        <v>VTES -MARQUAGE USAGE BMW NON-CERT</v>
      </c>
      <c r="N304" s="151">
        <f>+IF(OR($Q304=Parametres!$G$2,$Q304=Parametres!$G$3),I304,C304)</f>
        <v>-21548.98</v>
      </c>
      <c r="O304" s="151">
        <f>+IF(OR($Q304=Parametres!$G$2,$Q304=Parametres!$G$3),J304,D304)</f>
        <v>-2394</v>
      </c>
      <c r="P304" s="151">
        <f>+IF(OR($Q304=Parametres!$G$2,$Q304=Parametres!$G$3),K304,E304)</f>
        <v>-23942.98</v>
      </c>
      <c r="Q304" s="150" t="str">
        <f t="shared" si="22"/>
        <v>5-Ventes</v>
      </c>
      <c r="R304" s="149" t="str">
        <f t="shared" si="23"/>
        <v>450</v>
      </c>
      <c r="S304" s="150" t="str">
        <f t="shared" si="24"/>
        <v>_</v>
      </c>
      <c r="T304" s="152" t="str">
        <f>+VLOOKUP($L304,Data_Validation!$A:$D,1,0)</f>
        <v>454M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1650</v>
      </c>
      <c r="B305" s="708" t="s">
        <v>437</v>
      </c>
      <c r="C305" s="710">
        <v>-21470.42</v>
      </c>
      <c r="D305" s="710">
        <v>0</v>
      </c>
      <c r="E305" s="710">
        <v>-21470.42</v>
      </c>
      <c r="F305" s="708" t="s">
        <v>2006</v>
      </c>
      <c r="G305" s="708" t="s">
        <v>1012</v>
      </c>
      <c r="H305" s="664" t="s">
        <v>2997</v>
      </c>
      <c r="I305" s="663"/>
      <c r="J305" s="663"/>
      <c r="K305" s="663"/>
      <c r="L305" s="149" t="str">
        <f t="shared" si="20"/>
        <v>450F</v>
      </c>
      <c r="M305" s="150" t="str">
        <f t="shared" si="21"/>
        <v>VTE - RIST FINANCE USAGE BMW AUTO</v>
      </c>
      <c r="N305" s="151">
        <f>+IF(OR($Q305=Parametres!$G$2,$Q305=Parametres!$G$3),I305,C305)</f>
        <v>-21470.42</v>
      </c>
      <c r="O305" s="151">
        <f>+IF(OR($Q305=Parametres!$G$2,$Q305=Parametres!$G$3),J305,D305)</f>
        <v>0</v>
      </c>
      <c r="P305" s="151">
        <f>+IF(OR($Q305=Parametres!$G$2,$Q305=Parametres!$G$3),K305,E305)</f>
        <v>-21470.42</v>
      </c>
      <c r="Q305" s="150" t="str">
        <f t="shared" si="22"/>
        <v>5-Ventes</v>
      </c>
      <c r="R305" s="149" t="str">
        <f t="shared" si="23"/>
        <v>450</v>
      </c>
      <c r="S305" s="150" t="str">
        <f t="shared" si="24"/>
        <v>_</v>
      </c>
      <c r="T305" s="152" t="str">
        <f>+VLOOKUP($L305,Data_Validation!$A:$D,1,0)</f>
        <v>450F</v>
      </c>
      <c r="U305" s="152" t="str">
        <f>+VLOOKUP($L305,Data_Validation!$A:$D,3,0)</f>
        <v>Véhicules usagés</v>
      </c>
      <c r="V305" s="152" t="str">
        <f>+VLOOKUP($L305,Data_Validation!$A:$D,4,0)</f>
        <v>Rev. Finances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1186</v>
      </c>
      <c r="B306" s="708" t="s">
        <v>1012</v>
      </c>
      <c r="C306" s="710">
        <v>-20754.95</v>
      </c>
      <c r="D306" s="710">
        <v>-1197</v>
      </c>
      <c r="E306" s="710">
        <v>-21951.95</v>
      </c>
      <c r="F306" s="708" t="s">
        <v>2006</v>
      </c>
      <c r="G306" s="708" t="s">
        <v>1012</v>
      </c>
      <c r="H306" s="664" t="s">
        <v>2997</v>
      </c>
      <c r="I306" s="663"/>
      <c r="J306" s="663"/>
      <c r="K306" s="663"/>
      <c r="L306" s="149" t="str">
        <f t="shared" si="20"/>
        <v>450</v>
      </c>
      <c r="M306" s="150" t="str">
        <f t="shared" si="21"/>
        <v>VTES -MARQUAGE USAGE BMW CERT</v>
      </c>
      <c r="N306" s="151">
        <f>+IF(OR($Q306=Parametres!$G$2,$Q306=Parametres!$G$3),I306,C306)</f>
        <v>-20754.95</v>
      </c>
      <c r="O306" s="151">
        <f>+IF(OR($Q306=Parametres!$G$2,$Q306=Parametres!$G$3),J306,D306)</f>
        <v>-1197</v>
      </c>
      <c r="P306" s="151">
        <f>+IF(OR($Q306=Parametres!$G$2,$Q306=Parametres!$G$3),K306,E306)</f>
        <v>-21951.95</v>
      </c>
      <c r="Q306" s="150" t="str">
        <f t="shared" si="22"/>
        <v>5-Ventes</v>
      </c>
      <c r="R306" s="149" t="str">
        <f t="shared" si="23"/>
        <v>450</v>
      </c>
      <c r="S306" s="150" t="str">
        <f t="shared" si="24"/>
        <v>_</v>
      </c>
      <c r="T306" s="152" t="str">
        <f>+VLOOKUP($L306,Data_Validation!$A:$D,1,0)</f>
        <v>450</v>
      </c>
      <c r="U306" s="152" t="str">
        <f>+VLOOKUP($L306,Data_Validation!$A:$D,3,0)</f>
        <v>Véhicules usagés</v>
      </c>
      <c r="V306" s="152" t="str">
        <f>+VLOOKUP($L306,Data_Validation!$A:$D,4,0)</f>
        <v>Rev. Autres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1158</v>
      </c>
      <c r="B307" s="708" t="s">
        <v>1159</v>
      </c>
      <c r="C307" s="710">
        <v>-18604.62</v>
      </c>
      <c r="D307" s="710">
        <v>0</v>
      </c>
      <c r="E307" s="710">
        <v>-18604.62</v>
      </c>
      <c r="F307" s="708" t="s">
        <v>2006</v>
      </c>
      <c r="G307" s="708" t="s">
        <v>625</v>
      </c>
      <c r="H307" s="664" t="s">
        <v>2997</v>
      </c>
      <c r="I307" s="663"/>
      <c r="J307" s="663"/>
      <c r="K307" s="663"/>
      <c r="L307" s="149" t="str">
        <f t="shared" si="20"/>
        <v>430V</v>
      </c>
      <c r="M307" s="150" t="str">
        <f t="shared" si="21"/>
        <v>VTE - ASS VIE/INV NEUF BMW AUTO</v>
      </c>
      <c r="N307" s="151">
        <f>+IF(OR($Q307=Parametres!$G$2,$Q307=Parametres!$G$3),I307,C307)</f>
        <v>-18604.62</v>
      </c>
      <c r="O307" s="151">
        <f>+IF(OR($Q307=Parametres!$G$2,$Q307=Parametres!$G$3),J307,D307)</f>
        <v>0</v>
      </c>
      <c r="P307" s="151">
        <f>+IF(OR($Q307=Parametres!$G$2,$Q307=Parametres!$G$3),K307,E307)</f>
        <v>-18604.62</v>
      </c>
      <c r="Q307" s="150" t="str">
        <f t="shared" si="22"/>
        <v>5-Ventes</v>
      </c>
      <c r="R307" s="149" t="str">
        <f t="shared" si="23"/>
        <v>430</v>
      </c>
      <c r="S307" s="150" t="str">
        <f t="shared" si="24"/>
        <v>_</v>
      </c>
      <c r="T307" s="152" t="str">
        <f>+VLOOKUP($L307,Data_Validation!$A:$D,1,0)</f>
        <v>430V</v>
      </c>
      <c r="U307" s="152" t="str">
        <f>+VLOOKUP($L307,Data_Validation!$A:$D,3,0)</f>
        <v>Véhicules neufs</v>
      </c>
      <c r="V307" s="152" t="str">
        <f>+VLOOKUP($L307,Data_Validation!$A:$D,4,0)</f>
        <v>Rev. Autres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2365</v>
      </c>
      <c r="B308" s="708" t="s">
        <v>2360</v>
      </c>
      <c r="C308" s="709">
        <v>-17606</v>
      </c>
      <c r="D308" s="709">
        <v>-730</v>
      </c>
      <c r="E308" s="709">
        <v>-18336</v>
      </c>
      <c r="F308" s="708" t="s">
        <v>2006</v>
      </c>
      <c r="G308" s="708" t="s">
        <v>2360</v>
      </c>
      <c r="H308" s="709" t="s">
        <v>2997</v>
      </c>
      <c r="I308" s="710"/>
      <c r="J308" s="710"/>
      <c r="K308" s="710"/>
      <c r="L308" s="149" t="str">
        <f t="shared" si="20"/>
        <v>454</v>
      </c>
      <c r="M308" s="150" t="str">
        <f t="shared" si="21"/>
        <v>VTE - CONT ENTRET USAGE BMW AUTO</v>
      </c>
      <c r="N308" s="151">
        <f>+IF(OR($Q308=Parametres!$G$2,$Q308=Parametres!$G$3),I308,C308)</f>
        <v>-17606</v>
      </c>
      <c r="O308" s="151">
        <f>+IF(OR($Q308=Parametres!$G$2,$Q308=Parametres!$G$3),J308,D308)</f>
        <v>-730</v>
      </c>
      <c r="P308" s="151">
        <f>+IF(OR($Q308=Parametres!$G$2,$Q308=Parametres!$G$3),K308,E308)</f>
        <v>-18336</v>
      </c>
      <c r="Q308" s="150" t="str">
        <f t="shared" si="22"/>
        <v>5-Ventes</v>
      </c>
      <c r="R308" s="149" t="str">
        <f t="shared" si="23"/>
        <v>454</v>
      </c>
      <c r="S308" s="150" t="str">
        <f t="shared" si="24"/>
        <v>_</v>
      </c>
      <c r="T308" s="152" t="str">
        <f>+VLOOKUP($L308,Data_Validation!$A:$D,1,0)</f>
        <v>454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1407</v>
      </c>
      <c r="B309" s="708" t="s">
        <v>374</v>
      </c>
      <c r="C309" s="710">
        <v>-17556.990000000002</v>
      </c>
      <c r="D309" s="710">
        <v>-1596</v>
      </c>
      <c r="E309" s="710">
        <v>-19152.990000000002</v>
      </c>
      <c r="F309" s="708" t="s">
        <v>2006</v>
      </c>
      <c r="G309" s="708" t="s">
        <v>374</v>
      </c>
      <c r="H309" s="664" t="s">
        <v>2997</v>
      </c>
      <c r="I309" s="663"/>
      <c r="J309" s="663"/>
      <c r="K309" s="663"/>
      <c r="L309" s="149" t="str">
        <f t="shared" si="20"/>
        <v>451</v>
      </c>
      <c r="M309" s="150" t="str">
        <f t="shared" si="21"/>
        <v>VTES -VTE - MARQUAGE USAGE AUTRE</v>
      </c>
      <c r="N309" s="151">
        <f>+IF(OR($Q309=Parametres!$G$2,$Q309=Parametres!$G$3),I309,C309)</f>
        <v>-17556.990000000002</v>
      </c>
      <c r="O309" s="151">
        <f>+IF(OR($Q309=Parametres!$G$2,$Q309=Parametres!$G$3),J309,D309)</f>
        <v>-1596</v>
      </c>
      <c r="P309" s="151">
        <f>+IF(OR($Q309=Parametres!$G$2,$Q309=Parametres!$G$3),K309,E309)</f>
        <v>-19152.990000000002</v>
      </c>
      <c r="Q309" s="150" t="str">
        <f t="shared" si="22"/>
        <v>5-Ventes</v>
      </c>
      <c r="R309" s="149" t="str">
        <f t="shared" si="23"/>
        <v>451</v>
      </c>
      <c r="S309" s="150" t="str">
        <f t="shared" si="24"/>
        <v>_</v>
      </c>
      <c r="T309" s="152" t="str">
        <f>+VLOOKUP($L309,Data_Validation!$A:$D,1,0)</f>
        <v>451</v>
      </c>
      <c r="U309" s="152" t="str">
        <f>+VLOOKUP($L309,Data_Validation!$A:$D,3,0)</f>
        <v>Véhicules usagés</v>
      </c>
      <c r="V309" s="152" t="str">
        <f>+VLOOKUP($L309,Data_Validation!$A:$D,4,0)</f>
        <v>Rev. Autres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1142</v>
      </c>
      <c r="B310" s="708" t="s">
        <v>454</v>
      </c>
      <c r="C310" s="710">
        <v>-17216.7</v>
      </c>
      <c r="D310" s="710">
        <v>-3966.7</v>
      </c>
      <c r="E310" s="710">
        <v>-21183.4</v>
      </c>
      <c r="F310" s="708" t="s">
        <v>2006</v>
      </c>
      <c r="G310" s="708" t="s">
        <v>1143</v>
      </c>
      <c r="H310" s="657" t="s">
        <v>2997</v>
      </c>
      <c r="I310" s="656"/>
      <c r="J310" s="656"/>
      <c r="K310" s="656"/>
      <c r="L310" s="149" t="str">
        <f t="shared" si="20"/>
        <v>463B</v>
      </c>
      <c r="M310" s="150" t="str">
        <f t="shared" si="21"/>
        <v>VTE - SOUS-TRAITANCE BMW CAMION</v>
      </c>
      <c r="N310" s="151">
        <f>+IF(OR($Q310=Parametres!$G$2,$Q310=Parametres!$G$3),I310,C310)</f>
        <v>-17216.7</v>
      </c>
      <c r="O310" s="151">
        <f>+IF(OR($Q310=Parametres!$G$2,$Q310=Parametres!$G$3),J310,D310)</f>
        <v>-3966.7</v>
      </c>
      <c r="P310" s="151">
        <f>+IF(OR($Q310=Parametres!$G$2,$Q310=Parametres!$G$3),K310,E310)</f>
        <v>-21183.4</v>
      </c>
      <c r="Q310" s="150" t="str">
        <f t="shared" si="22"/>
        <v>5-Ventes</v>
      </c>
      <c r="R310" s="149" t="str">
        <f t="shared" si="23"/>
        <v>463A</v>
      </c>
      <c r="S310" s="150" t="str">
        <f t="shared" si="24"/>
        <v>_</v>
      </c>
      <c r="T310" s="152" t="str">
        <f>+VLOOKUP($L310,Data_Validation!$A:$D,1,0)</f>
        <v>463B</v>
      </c>
      <c r="U310" s="152" t="str">
        <f>+VLOOKUP($L310,Data_Validation!$A:$D,3,0)</f>
        <v>service</v>
      </c>
      <c r="V310" s="152" t="str">
        <f>+VLOOKUP($L310,Data_Validation!$A:$D,4,0)</f>
        <v>Sous-traitement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1951</v>
      </c>
      <c r="B311" s="708" t="s">
        <v>1952</v>
      </c>
      <c r="C311" s="710">
        <v>-16521</v>
      </c>
      <c r="D311" s="710">
        <v>-1545.66</v>
      </c>
      <c r="E311" s="710">
        <v>-18066.66</v>
      </c>
      <c r="F311" s="708" t="s">
        <v>2006</v>
      </c>
      <c r="G311" s="708" t="s">
        <v>1012</v>
      </c>
      <c r="H311" s="664" t="s">
        <v>2997</v>
      </c>
      <c r="I311" s="663"/>
      <c r="J311" s="663"/>
      <c r="K311" s="663"/>
      <c r="L311" s="149" t="str">
        <f t="shared" si="20"/>
        <v>454F</v>
      </c>
      <c r="M311" s="150" t="str">
        <f t="shared" si="21"/>
        <v>VTES -RIST FINANCE USAGE BMW NON-CERT</v>
      </c>
      <c r="N311" s="151">
        <f>+IF(OR($Q311=Parametres!$G$2,$Q311=Parametres!$G$3),I311,C311)</f>
        <v>-16521</v>
      </c>
      <c r="O311" s="151">
        <f>+IF(OR($Q311=Parametres!$G$2,$Q311=Parametres!$G$3),J311,D311)</f>
        <v>-1545.66</v>
      </c>
      <c r="P311" s="151">
        <f>+IF(OR($Q311=Parametres!$G$2,$Q311=Parametres!$G$3),K311,E311)</f>
        <v>-18066.66</v>
      </c>
      <c r="Q311" s="150" t="str">
        <f t="shared" si="22"/>
        <v>5-Ventes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454F</v>
      </c>
      <c r="U311" s="152" t="str">
        <f>+VLOOKUP($L311,Data_Validation!$A:$D,3,0)</f>
        <v>Véhicules usagés</v>
      </c>
      <c r="V311" s="152" t="str">
        <f>+VLOOKUP($L311,Data_Validation!$A:$D,4,0)</f>
        <v>Rev. Finances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2400</v>
      </c>
      <c r="B312" s="708" t="s">
        <v>2401</v>
      </c>
      <c r="C312" s="710">
        <v>-15482.75</v>
      </c>
      <c r="D312" s="710">
        <v>0</v>
      </c>
      <c r="E312" s="710">
        <v>-15482.75</v>
      </c>
      <c r="F312" s="708" t="s">
        <v>2006</v>
      </c>
      <c r="G312" s="708" t="s">
        <v>1012</v>
      </c>
      <c r="H312" s="657" t="s">
        <v>2997</v>
      </c>
      <c r="I312" s="656"/>
      <c r="J312" s="656"/>
      <c r="K312" s="656"/>
      <c r="L312" s="149" t="str">
        <f t="shared" si="20"/>
        <v>454R</v>
      </c>
      <c r="M312" s="150" t="str">
        <f t="shared" si="21"/>
        <v>VTES -ASS. REMP. USAGE BMW NON-CERT</v>
      </c>
      <c r="N312" s="151">
        <f>+IF(OR($Q312=Parametres!$G$2,$Q312=Parametres!$G$3),I312,C312)</f>
        <v>-15482.75</v>
      </c>
      <c r="O312" s="151">
        <f>+IF(OR($Q312=Parametres!$G$2,$Q312=Parametres!$G$3),J312,D312)</f>
        <v>0</v>
      </c>
      <c r="P312" s="151">
        <f>+IF(OR($Q312=Parametres!$G$2,$Q312=Parametres!$G$3),K312,E312)</f>
        <v>-15482.75</v>
      </c>
      <c r="Q312" s="150" t="str">
        <f t="shared" si="22"/>
        <v>5-Ventes</v>
      </c>
      <c r="R312" s="149" t="str">
        <f t="shared" si="23"/>
        <v>450</v>
      </c>
      <c r="S312" s="150" t="str">
        <f t="shared" si="24"/>
        <v>_</v>
      </c>
      <c r="T312" s="152" t="str">
        <f>+VLOOKUP($L312,Data_Validation!$A:$D,1,0)</f>
        <v>454R</v>
      </c>
      <c r="U312" s="152" t="str">
        <f>+VLOOKUP($L312,Data_Validation!$A:$D,3,0)</f>
        <v>Véhicules usagés</v>
      </c>
      <c r="V312" s="152" t="str">
        <f>+VLOOKUP($L312,Data_Validation!$A:$D,4,0)</f>
        <v>Rev. Protections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635</v>
      </c>
      <c r="B313" s="708" t="s">
        <v>636</v>
      </c>
      <c r="C313" s="709">
        <v>-14520.53</v>
      </c>
      <c r="D313" s="709">
        <v>-1492.85</v>
      </c>
      <c r="E313" s="709">
        <v>-16013.38</v>
      </c>
      <c r="F313" s="708" t="s">
        <v>2006</v>
      </c>
      <c r="G313" s="708" t="s">
        <v>1132</v>
      </c>
      <c r="H313" s="709" t="s">
        <v>2997</v>
      </c>
      <c r="I313" s="710"/>
      <c r="J313" s="710"/>
      <c r="K313" s="710"/>
      <c r="L313" s="149" t="str">
        <f t="shared" si="20"/>
        <v>473D</v>
      </c>
      <c r="M313" s="150" t="str">
        <f t="shared" si="21"/>
        <v>VTE - PIECES INTERNE BMW I</v>
      </c>
      <c r="N313" s="151">
        <f>+IF(OR($Q313=Parametres!$G$2,$Q313=Parametres!$G$3),I313,C313)</f>
        <v>-14520.53</v>
      </c>
      <c r="O313" s="151">
        <f>+IF(OR($Q313=Parametres!$G$2,$Q313=Parametres!$G$3),J313,D313)</f>
        <v>-1492.85</v>
      </c>
      <c r="P313" s="151">
        <f>+IF(OR($Q313=Parametres!$G$2,$Q313=Parametres!$G$3),K313,E313)</f>
        <v>-16013.38</v>
      </c>
      <c r="Q313" s="150" t="str">
        <f t="shared" si="22"/>
        <v>5-Ventes</v>
      </c>
      <c r="R313" s="149" t="str">
        <f t="shared" si="23"/>
        <v>473A</v>
      </c>
      <c r="S313" s="150" t="str">
        <f t="shared" si="24"/>
        <v>_</v>
      </c>
      <c r="T313" s="152" t="str">
        <f>+VLOOKUP($L313,Data_Validation!$A:$D,1,0)</f>
        <v>473D</v>
      </c>
      <c r="U313" s="152" t="str">
        <f>+VLOOKUP($L313,Data_Validation!$A:$D,3,0)</f>
        <v>pièces</v>
      </c>
      <c r="V313" s="152" t="str">
        <f>+VLOOKUP($L313,Data_Validation!$A:$D,4,0)</f>
        <v>Ventes Internes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1393</v>
      </c>
      <c r="B314" s="708" t="s">
        <v>1011</v>
      </c>
      <c r="C314" s="710">
        <v>-13890</v>
      </c>
      <c r="D314" s="710">
        <v>0</v>
      </c>
      <c r="E314" s="710">
        <v>-13890</v>
      </c>
      <c r="F314" s="708" t="s">
        <v>2006</v>
      </c>
      <c r="G314" s="708" t="s">
        <v>625</v>
      </c>
      <c r="H314" s="664" t="s">
        <v>2997</v>
      </c>
      <c r="I314" s="663"/>
      <c r="J314" s="663"/>
      <c r="K314" s="663"/>
      <c r="L314" s="149" t="str">
        <f t="shared" si="20"/>
        <v>430P</v>
      </c>
      <c r="M314" s="150" t="str">
        <f t="shared" si="21"/>
        <v>VTE - PROTEC PNEUS/JANTES NEUF BMW AUTO</v>
      </c>
      <c r="N314" s="151">
        <f>+IF(OR($Q314=Parametres!$G$2,$Q314=Parametres!$G$3),I314,C314)</f>
        <v>-13890</v>
      </c>
      <c r="O314" s="151">
        <f>+IF(OR($Q314=Parametres!$G$2,$Q314=Parametres!$G$3),J314,D314)</f>
        <v>0</v>
      </c>
      <c r="P314" s="151">
        <f>+IF(OR($Q314=Parametres!$G$2,$Q314=Parametres!$G$3),K314,E314)</f>
        <v>-13890</v>
      </c>
      <c r="Q314" s="150" t="str">
        <f t="shared" si="22"/>
        <v>5-Ventes</v>
      </c>
      <c r="R314" s="149" t="str">
        <f t="shared" si="23"/>
        <v>430</v>
      </c>
      <c r="S314" s="150" t="str">
        <f t="shared" si="24"/>
        <v>_</v>
      </c>
      <c r="T314" s="152" t="str">
        <f>+VLOOKUP($L314,Data_Validation!$A:$D,1,0)</f>
        <v>430P</v>
      </c>
      <c r="U314" s="152" t="str">
        <f>+VLOOKUP($L314,Data_Validation!$A:$D,3,0)</f>
        <v>Véhicules neufs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1238</v>
      </c>
      <c r="B315" s="662" t="s">
        <v>457</v>
      </c>
      <c r="C315" s="663">
        <v>-13657.77</v>
      </c>
      <c r="D315" s="663">
        <v>-3963.66</v>
      </c>
      <c r="E315" s="663">
        <v>-17621.43</v>
      </c>
      <c r="F315" s="662" t="s">
        <v>2006</v>
      </c>
      <c r="G315" s="662" t="s">
        <v>1120</v>
      </c>
      <c r="H315" s="657" t="s">
        <v>2997</v>
      </c>
      <c r="I315" s="656"/>
      <c r="J315" s="656"/>
      <c r="K315" s="656"/>
      <c r="L315" s="149" t="str">
        <f t="shared" si="20"/>
        <v>470D</v>
      </c>
      <c r="M315" s="150" t="str">
        <f t="shared" si="21"/>
        <v>VTE - PIECES BT CLIENT BMW I</v>
      </c>
      <c r="N315" s="151">
        <f>+IF(OR($Q315=Parametres!$G$2,$Q315=Parametres!$G$3),I315,C315)</f>
        <v>-13657.77</v>
      </c>
      <c r="O315" s="151">
        <f>+IF(OR($Q315=Parametres!$G$2,$Q315=Parametres!$G$3),J315,D315)</f>
        <v>-3963.66</v>
      </c>
      <c r="P315" s="151">
        <f>+IF(OR($Q315=Parametres!$G$2,$Q315=Parametres!$G$3),K315,E315)</f>
        <v>-17621.43</v>
      </c>
      <c r="Q315" s="150" t="str">
        <f t="shared" si="22"/>
        <v>5-Ventes</v>
      </c>
      <c r="R315" s="149" t="str">
        <f t="shared" si="23"/>
        <v>470A</v>
      </c>
      <c r="S315" s="150" t="str">
        <f t="shared" si="24"/>
        <v>_</v>
      </c>
      <c r="T315" s="152" t="str">
        <f>+VLOOKUP($L315,Data_Validation!$A:$D,1,0)</f>
        <v>470D</v>
      </c>
      <c r="U315" s="152" t="str">
        <f>+VLOOKUP($L315,Data_Validation!$A:$D,3,0)</f>
        <v>Pièces</v>
      </c>
      <c r="V315" s="152" t="str">
        <f>+VLOOKUP($L315,Data_Validation!$A:$D,4,0)</f>
        <v>Pièces Ro Clients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2912</v>
      </c>
      <c r="B316" s="662" t="s">
        <v>2913</v>
      </c>
      <c r="C316" s="663">
        <v>-12835.58</v>
      </c>
      <c r="D316" s="663">
        <v>0</v>
      </c>
      <c r="E316" s="663">
        <v>-12835.58</v>
      </c>
      <c r="F316" s="662" t="s">
        <v>2006</v>
      </c>
      <c r="G316" s="662" t="s">
        <v>374</v>
      </c>
      <c r="H316" s="657" t="s">
        <v>2997</v>
      </c>
      <c r="I316" s="656"/>
      <c r="J316" s="656"/>
      <c r="K316" s="656"/>
      <c r="L316" s="149" t="str">
        <f t="shared" si="20"/>
        <v>451R</v>
      </c>
      <c r="M316" s="150" t="str">
        <f t="shared" si="21"/>
        <v>VTE - ASS. REMP. USAGE AUTRE</v>
      </c>
      <c r="N316" s="151">
        <f>+IF(OR($Q316=Parametres!$G$2,$Q316=Parametres!$G$3),I316,C316)</f>
        <v>-12835.58</v>
      </c>
      <c r="O316" s="151">
        <f>+IF(OR($Q316=Parametres!$G$2,$Q316=Parametres!$G$3),J316,D316)</f>
        <v>0</v>
      </c>
      <c r="P316" s="151">
        <f>+IF(OR($Q316=Parametres!$G$2,$Q316=Parametres!$G$3),K316,E316)</f>
        <v>-12835.58</v>
      </c>
      <c r="Q316" s="150" t="str">
        <f t="shared" si="22"/>
        <v>5-Ventes</v>
      </c>
      <c r="R316" s="149" t="str">
        <f t="shared" si="23"/>
        <v>451</v>
      </c>
      <c r="S316" s="150" t="str">
        <f t="shared" si="24"/>
        <v>_</v>
      </c>
      <c r="T316" s="152" t="str">
        <f>+VLOOKUP($L316,Data_Validation!$A:$D,1,0)</f>
        <v>451R</v>
      </c>
      <c r="U316" s="152" t="str">
        <f>+VLOOKUP($L316,Data_Validation!$A:$D,3,0)</f>
        <v>Véhicules usagés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2189</v>
      </c>
      <c r="B317" s="708" t="s">
        <v>2190</v>
      </c>
      <c r="C317" s="709">
        <v>-10806.54</v>
      </c>
      <c r="D317" s="709">
        <v>-1131.5</v>
      </c>
      <c r="E317" s="709">
        <v>-11938.04</v>
      </c>
      <c r="F317" s="708" t="s">
        <v>2006</v>
      </c>
      <c r="G317" s="708" t="s">
        <v>2416</v>
      </c>
      <c r="H317" s="709" t="s">
        <v>2997</v>
      </c>
      <c r="I317" s="710"/>
      <c r="J317" s="710"/>
      <c r="K317" s="710"/>
      <c r="L317" s="149" t="str">
        <f t="shared" si="20"/>
        <v>459B</v>
      </c>
      <c r="M317" s="150" t="str">
        <f t="shared" si="21"/>
        <v>VTES -VTE - SUBLET ESTHETIQUE</v>
      </c>
      <c r="N317" s="151">
        <f>+IF(OR($Q317=Parametres!$G$2,$Q317=Parametres!$G$3),I317,C317)</f>
        <v>-10806.54</v>
      </c>
      <c r="O317" s="151">
        <f>+IF(OR($Q317=Parametres!$G$2,$Q317=Parametres!$G$3),J317,D317)</f>
        <v>-1131.5</v>
      </c>
      <c r="P317" s="151">
        <f>+IF(OR($Q317=Parametres!$G$2,$Q317=Parametres!$G$3),K317,E317)</f>
        <v>-11938.04</v>
      </c>
      <c r="Q317" s="150" t="str">
        <f t="shared" si="22"/>
        <v>5-Ventes</v>
      </c>
      <c r="R317" s="149" t="str">
        <f t="shared" si="23"/>
        <v>459</v>
      </c>
      <c r="S317" s="150" t="str">
        <f t="shared" si="24"/>
        <v>_</v>
      </c>
      <c r="T317" s="152" t="str">
        <f>+VLOOKUP($L317,Data_Validation!$A:$D,1,0)</f>
        <v>459B</v>
      </c>
      <c r="U317" s="152" t="str">
        <f>+VLOOKUP($L317,Data_Validation!$A:$D,3,0)</f>
        <v>Service</v>
      </c>
      <c r="V317" s="152" t="str">
        <f>+VLOOKUP($L317,Data_Validation!$A:$D,4,0)</f>
        <v>M/O Esthétique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1411</v>
      </c>
      <c r="B318" s="708" t="s">
        <v>366</v>
      </c>
      <c r="C318" s="709">
        <v>-10010</v>
      </c>
      <c r="D318" s="709">
        <v>-3405</v>
      </c>
      <c r="E318" s="709">
        <v>-13415</v>
      </c>
      <c r="F318" s="708" t="s">
        <v>2006</v>
      </c>
      <c r="G318" s="708" t="s">
        <v>366</v>
      </c>
      <c r="H318" s="709" t="s">
        <v>2997</v>
      </c>
      <c r="I318" s="710"/>
      <c r="J318" s="710"/>
      <c r="K318" s="710"/>
      <c r="L318" s="149" t="str">
        <f t="shared" si="20"/>
        <v>455</v>
      </c>
      <c r="M318" s="150" t="str">
        <f t="shared" si="21"/>
        <v>VTE - GAR PROL USAGE AUTRE</v>
      </c>
      <c r="N318" s="151">
        <f>+IF(OR($Q318=Parametres!$G$2,$Q318=Parametres!$G$3),I318,C318)</f>
        <v>-10010</v>
      </c>
      <c r="O318" s="151">
        <f>+IF(OR($Q318=Parametres!$G$2,$Q318=Parametres!$G$3),J318,D318)</f>
        <v>-3405</v>
      </c>
      <c r="P318" s="151">
        <f>+IF(OR($Q318=Parametres!$G$2,$Q318=Parametres!$G$3),K318,E318)</f>
        <v>-13415</v>
      </c>
      <c r="Q318" s="150" t="str">
        <f t="shared" si="22"/>
        <v>5-Ventes</v>
      </c>
      <c r="R318" s="149" t="str">
        <f t="shared" si="23"/>
        <v>455</v>
      </c>
      <c r="S318" s="150" t="str">
        <f t="shared" si="24"/>
        <v>_</v>
      </c>
      <c r="T318" s="152" t="str">
        <f>+VLOOKUP($L318,Data_Validation!$A:$D,1,0)</f>
        <v>455</v>
      </c>
      <c r="U318" s="152" t="str">
        <f>+VLOOKUP($L318,Data_Validation!$A:$D,3,0)</f>
        <v>Véhicules usagés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1187</v>
      </c>
      <c r="B319" s="662" t="s">
        <v>460</v>
      </c>
      <c r="C319" s="663">
        <v>-9554.83</v>
      </c>
      <c r="D319" s="663">
        <v>-1055.8599999999999</v>
      </c>
      <c r="E319" s="663">
        <v>-10610.69</v>
      </c>
      <c r="F319" s="662" t="s">
        <v>2006</v>
      </c>
      <c r="G319" s="662" t="s">
        <v>1118</v>
      </c>
      <c r="H319" s="657" t="s">
        <v>2997</v>
      </c>
      <c r="I319" s="656"/>
      <c r="J319" s="656"/>
      <c r="K319" s="656"/>
      <c r="L319" s="149" t="str">
        <f t="shared" si="20"/>
        <v>474D</v>
      </c>
      <c r="M319" s="150" t="str">
        <f t="shared" si="21"/>
        <v>VTE - PIECES COMP. BMW LIFESTYLE</v>
      </c>
      <c r="N319" s="151">
        <f>+IF(OR($Q319=Parametres!$G$2,$Q319=Parametres!$G$3),I319,C319)</f>
        <v>-9554.83</v>
      </c>
      <c r="O319" s="151">
        <f>+IF(OR($Q319=Parametres!$G$2,$Q319=Parametres!$G$3),J319,D319)</f>
        <v>-1055.8599999999999</v>
      </c>
      <c r="P319" s="151">
        <f>+IF(OR($Q319=Parametres!$G$2,$Q319=Parametres!$G$3),K319,E319)</f>
        <v>-10610.69</v>
      </c>
      <c r="Q319" s="150" t="str">
        <f t="shared" si="22"/>
        <v>5-Ventes</v>
      </c>
      <c r="R319" s="149" t="str">
        <f t="shared" si="23"/>
        <v>474A</v>
      </c>
      <c r="S319" s="150" t="str">
        <f t="shared" si="24"/>
        <v>_</v>
      </c>
      <c r="T319" s="152" t="str">
        <f>+VLOOKUP($L319,Data_Validation!$A:$D,1,0)</f>
        <v>474D</v>
      </c>
      <c r="U319" s="152" t="str">
        <f>+VLOOKUP($L319,Data_Validation!$A:$D,3,0)</f>
        <v>pièces</v>
      </c>
      <c r="V319" s="152" t="str">
        <f>+VLOOKUP($L319,Data_Validation!$A:$D,4,0)</f>
        <v>Ventes Détails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3004</v>
      </c>
      <c r="B320" s="708" t="s">
        <v>1402</v>
      </c>
      <c r="C320" s="709">
        <v>-9394.93</v>
      </c>
      <c r="D320" s="709">
        <v>0</v>
      </c>
      <c r="E320" s="709">
        <v>-9394.93</v>
      </c>
      <c r="F320" s="708" t="s">
        <v>2006</v>
      </c>
      <c r="G320" s="708" t="s">
        <v>1012</v>
      </c>
      <c r="H320" s="709" t="s">
        <v>2997</v>
      </c>
      <c r="I320" s="710"/>
      <c r="J320" s="710"/>
      <c r="K320" s="710"/>
      <c r="L320" s="149" t="str">
        <f t="shared" si="20"/>
        <v>450T</v>
      </c>
      <c r="M320" s="150" t="str">
        <f t="shared" si="21"/>
        <v>VTES -VTES -TRAITEMENT PROTECTION USAGE BMW C</v>
      </c>
      <c r="N320" s="151">
        <f>+IF(OR($Q320=Parametres!$G$2,$Q320=Parametres!$G$3),I320,C320)</f>
        <v>-9394.93</v>
      </c>
      <c r="O320" s="151">
        <f>+IF(OR($Q320=Parametres!$G$2,$Q320=Parametres!$G$3),J320,D320)</f>
        <v>0</v>
      </c>
      <c r="P320" s="151">
        <f>+IF(OR($Q320=Parametres!$G$2,$Q320=Parametres!$G$3),K320,E320)</f>
        <v>-9394.93</v>
      </c>
      <c r="Q320" s="150" t="str">
        <f t="shared" si="22"/>
        <v>5-Ventes</v>
      </c>
      <c r="R320" s="149" t="str">
        <f t="shared" si="23"/>
        <v>450</v>
      </c>
      <c r="S320" s="150" t="str">
        <f t="shared" si="24"/>
        <v>_</v>
      </c>
      <c r="T320" s="152" t="str">
        <f>+VLOOKUP($L320,Data_Validation!$A:$D,1,0)</f>
        <v>450T</v>
      </c>
      <c r="U320" s="152" t="str">
        <f>+VLOOKUP($L320,Data_Validation!$A:$D,3,0)</f>
        <v>Véhicules usagés</v>
      </c>
      <c r="V320" s="152" t="str">
        <f>+VLOOKUP($L320,Data_Validation!$A:$D,4,0)</f>
        <v>Rev. Autres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2173</v>
      </c>
      <c r="B321" s="708" t="s">
        <v>2174</v>
      </c>
      <c r="C321" s="710">
        <v>-9164.17</v>
      </c>
      <c r="D321" s="710">
        <v>-1054.49</v>
      </c>
      <c r="E321" s="710">
        <v>-10218.66</v>
      </c>
      <c r="F321" s="708" t="s">
        <v>2006</v>
      </c>
      <c r="G321" s="708" t="s">
        <v>1139</v>
      </c>
      <c r="H321" s="664" t="s">
        <v>2997</v>
      </c>
      <c r="I321" s="663"/>
      <c r="J321" s="663"/>
      <c r="K321" s="663"/>
      <c r="L321" s="149" t="str">
        <f t="shared" si="20"/>
        <v>462L</v>
      </c>
      <c r="M321" s="150" t="str">
        <f t="shared" si="21"/>
        <v>VTES -SUBLET INTERNE AUTO</v>
      </c>
      <c r="N321" s="151">
        <f>+IF(OR($Q321=Parametres!$G$2,$Q321=Parametres!$G$3),I321,C321)</f>
        <v>-9164.17</v>
      </c>
      <c r="O321" s="151">
        <f>+IF(OR($Q321=Parametres!$G$2,$Q321=Parametres!$G$3),J321,D321)</f>
        <v>-1054.49</v>
      </c>
      <c r="P321" s="151">
        <f>+IF(OR($Q321=Parametres!$G$2,$Q321=Parametres!$G$3),K321,E321)</f>
        <v>-10218.66</v>
      </c>
      <c r="Q321" s="150" t="str">
        <f t="shared" si="22"/>
        <v>5-Ventes</v>
      </c>
      <c r="R321" s="149" t="str">
        <f t="shared" si="23"/>
        <v>462A</v>
      </c>
      <c r="S321" s="150" t="str">
        <f t="shared" si="24"/>
        <v>_</v>
      </c>
      <c r="T321" s="152" t="str">
        <f>+VLOOKUP($L321,Data_Validation!$A:$D,1,0)</f>
        <v>462L</v>
      </c>
      <c r="U321" s="152" t="str">
        <f>+VLOOKUP($L321,Data_Validation!$A:$D,3,0)</f>
        <v>Service</v>
      </c>
      <c r="V321" s="152" t="str">
        <f>+VLOOKUP($L321,Data_Validation!$A:$D,4,0)</f>
        <v>M/O Interne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2175</v>
      </c>
      <c r="B322" s="708" t="s">
        <v>2176</v>
      </c>
      <c r="C322" s="710">
        <v>-8863.75</v>
      </c>
      <c r="D322" s="710">
        <v>-1054.0999999999999</v>
      </c>
      <c r="E322" s="710">
        <v>-9917.85</v>
      </c>
      <c r="F322" s="708" t="s">
        <v>2006</v>
      </c>
      <c r="G322" s="708" t="s">
        <v>1139</v>
      </c>
      <c r="H322" s="664" t="s">
        <v>2997</v>
      </c>
      <c r="I322" s="663"/>
      <c r="J322" s="663"/>
      <c r="K322" s="663"/>
      <c r="L322" s="149" t="str">
        <f t="shared" ref="L322:L385" si="25">+B322</f>
        <v>462M</v>
      </c>
      <c r="M322" s="150" t="str">
        <f t="shared" ref="M322:M385" si="26">+A322</f>
        <v>VTES -SUBLET INTERNE CAMION</v>
      </c>
      <c r="N322" s="151">
        <f>+IF(OR($Q322=Parametres!$G$2,$Q322=Parametres!$G$3),I322,C322)</f>
        <v>-8863.75</v>
      </c>
      <c r="O322" s="151">
        <f>+IF(OR($Q322=Parametres!$G$2,$Q322=Parametres!$G$3),J322,D322)</f>
        <v>-1054.0999999999999</v>
      </c>
      <c r="P322" s="151">
        <f>+IF(OR($Q322=Parametres!$G$2,$Q322=Parametres!$G$3),K322,E322)</f>
        <v>-9917.85</v>
      </c>
      <c r="Q322" s="150" t="str">
        <f t="shared" ref="Q322:Q385" si="27">+F322</f>
        <v>5-Ventes</v>
      </c>
      <c r="R322" s="149" t="str">
        <f t="shared" ref="R322:R385" si="28">+G322</f>
        <v>462A</v>
      </c>
      <c r="S322" s="150" t="str">
        <f t="shared" ref="S322:S385" si="29">+H322</f>
        <v>_</v>
      </c>
      <c r="T322" s="152" t="str">
        <f>+VLOOKUP($L322,Data_Validation!$A:$D,1,0)</f>
        <v>462M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2202</v>
      </c>
      <c r="B323" s="708" t="s">
        <v>2203</v>
      </c>
      <c r="C323" s="709">
        <v>-8249.77</v>
      </c>
      <c r="D323" s="709">
        <v>0</v>
      </c>
      <c r="E323" s="709">
        <v>-8249.77</v>
      </c>
      <c r="F323" s="708" t="s">
        <v>2006</v>
      </c>
      <c r="G323" s="708" t="s">
        <v>374</v>
      </c>
      <c r="H323" s="709" t="s">
        <v>2997</v>
      </c>
      <c r="I323" s="710"/>
      <c r="J323" s="710"/>
      <c r="K323" s="710"/>
      <c r="L323" s="149" t="str">
        <f t="shared" si="25"/>
        <v>451V</v>
      </c>
      <c r="M323" s="150" t="str">
        <f t="shared" si="26"/>
        <v>VTE - ASS VIE/INV USAGE AUTRE</v>
      </c>
      <c r="N323" s="151">
        <f>+IF(OR($Q323=Parametres!$G$2,$Q323=Parametres!$G$3),I323,C323)</f>
        <v>-8249.77</v>
      </c>
      <c r="O323" s="151">
        <f>+IF(OR($Q323=Parametres!$G$2,$Q323=Parametres!$G$3),J323,D323)</f>
        <v>0</v>
      </c>
      <c r="P323" s="151">
        <f>+IF(OR($Q323=Parametres!$G$2,$Q323=Parametres!$G$3),K323,E323)</f>
        <v>-8249.77</v>
      </c>
      <c r="Q323" s="150" t="str">
        <f t="shared" si="27"/>
        <v>5-Ventes</v>
      </c>
      <c r="R323" s="149" t="str">
        <f t="shared" si="28"/>
        <v>451</v>
      </c>
      <c r="S323" s="150" t="str">
        <f t="shared" si="29"/>
        <v>_</v>
      </c>
      <c r="T323" s="152" t="str">
        <f>+VLOOKUP($L323,Data_Validation!$A:$D,1,0)</f>
        <v>451V</v>
      </c>
      <c r="U323" s="152" t="str">
        <f>+VLOOKUP($L323,Data_Validation!$A:$D,3,0)</f>
        <v>Véhicules usagés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472</v>
      </c>
      <c r="B324" s="708" t="s">
        <v>473</v>
      </c>
      <c r="C324" s="709">
        <v>-7769.87</v>
      </c>
      <c r="D324" s="709">
        <v>-500</v>
      </c>
      <c r="E324" s="709">
        <v>-8269.8700000000008</v>
      </c>
      <c r="F324" s="708" t="s">
        <v>2006</v>
      </c>
      <c r="G324" s="708" t="s">
        <v>1143</v>
      </c>
      <c r="H324" s="709" t="s">
        <v>2997</v>
      </c>
      <c r="I324" s="710"/>
      <c r="J324" s="710"/>
      <c r="K324" s="710"/>
      <c r="L324" s="149" t="str">
        <f t="shared" si="25"/>
        <v>463D</v>
      </c>
      <c r="M324" s="150" t="str">
        <f t="shared" si="26"/>
        <v>VTE - SOUS-TRAITANCE BMW I</v>
      </c>
      <c r="N324" s="151">
        <f>+IF(OR($Q324=Parametres!$G$2,$Q324=Parametres!$G$3),I324,C324)</f>
        <v>-7769.87</v>
      </c>
      <c r="O324" s="151">
        <f>+IF(OR($Q324=Parametres!$G$2,$Q324=Parametres!$G$3),J324,D324)</f>
        <v>-500</v>
      </c>
      <c r="P324" s="151">
        <f>+IF(OR($Q324=Parametres!$G$2,$Q324=Parametres!$G$3),K324,E324)</f>
        <v>-8269.8700000000008</v>
      </c>
      <c r="Q324" s="150" t="str">
        <f t="shared" si="27"/>
        <v>5-Ventes</v>
      </c>
      <c r="R324" s="149" t="str">
        <f t="shared" si="28"/>
        <v>463A</v>
      </c>
      <c r="S324" s="150" t="str">
        <f t="shared" si="29"/>
        <v>_</v>
      </c>
      <c r="T324" s="152" t="str">
        <f>+VLOOKUP($L324,Data_Validation!$A:$D,1,0)</f>
        <v>463D</v>
      </c>
      <c r="U324" s="152" t="str">
        <f>+VLOOKUP($L324,Data_Validation!$A:$D,3,0)</f>
        <v>service</v>
      </c>
      <c r="V324" s="152" t="str">
        <f>+VLOOKUP($L324,Data_Validation!$A:$D,4,0)</f>
        <v>Sous-traitement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2968</v>
      </c>
      <c r="B325" s="662" t="s">
        <v>2969</v>
      </c>
      <c r="C325" s="663">
        <v>-7665.19</v>
      </c>
      <c r="D325" s="663">
        <v>0</v>
      </c>
      <c r="E325" s="663">
        <v>-7665.19</v>
      </c>
      <c r="F325" s="662" t="s">
        <v>2006</v>
      </c>
      <c r="G325" s="662" t="s">
        <v>1012</v>
      </c>
      <c r="H325" s="657" t="s">
        <v>2997</v>
      </c>
      <c r="I325" s="656"/>
      <c r="J325" s="656"/>
      <c r="K325" s="656"/>
      <c r="L325" s="149" t="str">
        <f t="shared" si="25"/>
        <v>454V</v>
      </c>
      <c r="M325" s="150" t="str">
        <f t="shared" si="26"/>
        <v>VTES -VTE - ASS VIE/INV USAGE BMW NON-CERT</v>
      </c>
      <c r="N325" s="151">
        <f>+IF(OR($Q325=Parametres!$G$2,$Q325=Parametres!$G$3),I325,C325)</f>
        <v>-7665.19</v>
      </c>
      <c r="O325" s="151">
        <f>+IF(OR($Q325=Parametres!$G$2,$Q325=Parametres!$G$3),J325,D325)</f>
        <v>0</v>
      </c>
      <c r="P325" s="151">
        <f>+IF(OR($Q325=Parametres!$G$2,$Q325=Parametres!$G$3),K325,E325)</f>
        <v>-7665.19</v>
      </c>
      <c r="Q325" s="150" t="str">
        <f t="shared" si="27"/>
        <v>5-Ventes</v>
      </c>
      <c r="R325" s="149" t="str">
        <f t="shared" si="28"/>
        <v>450</v>
      </c>
      <c r="S325" s="150" t="str">
        <f t="shared" si="29"/>
        <v>_</v>
      </c>
      <c r="T325" s="152" t="str">
        <f>+VLOOKUP($L325,Data_Validation!$A:$D,1,0)</f>
        <v>454V</v>
      </c>
      <c r="U325" s="152" t="str">
        <f>+VLOOKUP($L325,Data_Validation!$A:$D,3,0)</f>
        <v>Véhicules usagés</v>
      </c>
      <c r="V325" s="152" t="str">
        <f>+VLOOKUP($L325,Data_Validation!$A:$D,4,0)</f>
        <v>Rev. Protections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1190</v>
      </c>
      <c r="B326" s="708" t="s">
        <v>1191</v>
      </c>
      <c r="C326" s="710">
        <v>-6895</v>
      </c>
      <c r="D326" s="710">
        <v>0</v>
      </c>
      <c r="E326" s="710">
        <v>-6895</v>
      </c>
      <c r="F326" s="708" t="s">
        <v>2006</v>
      </c>
      <c r="G326" s="708" t="s">
        <v>1012</v>
      </c>
      <c r="H326" s="664" t="s">
        <v>2997</v>
      </c>
      <c r="I326" s="663"/>
      <c r="J326" s="663"/>
      <c r="K326" s="663"/>
      <c r="L326" s="149" t="str">
        <f t="shared" si="25"/>
        <v>450E</v>
      </c>
      <c r="M326" s="150" t="str">
        <f t="shared" si="26"/>
        <v>VTE - PROTEC ESTHETIQUE USAGE BMW AUTO</v>
      </c>
      <c r="N326" s="151">
        <f>+IF(OR($Q326=Parametres!$G$2,$Q326=Parametres!$G$3),I326,C326)</f>
        <v>-6895</v>
      </c>
      <c r="O326" s="151">
        <f>+IF(OR($Q326=Parametres!$G$2,$Q326=Parametres!$G$3),J326,D326)</f>
        <v>0</v>
      </c>
      <c r="P326" s="151">
        <f>+IF(OR($Q326=Parametres!$G$2,$Q326=Parametres!$G$3),K326,E326)</f>
        <v>-6895</v>
      </c>
      <c r="Q326" s="150" t="str">
        <f t="shared" si="27"/>
        <v>5-Ventes</v>
      </c>
      <c r="R326" s="149" t="str">
        <f t="shared" si="28"/>
        <v>450</v>
      </c>
      <c r="S326" s="150" t="str">
        <f t="shared" si="29"/>
        <v>_</v>
      </c>
      <c r="T326" s="152" t="str">
        <f>+VLOOKUP($L326,Data_Validation!$A:$D,1,0)</f>
        <v>450E</v>
      </c>
      <c r="U326" s="152" t="str">
        <f>+VLOOKUP($L326,Data_Validation!$A:$D,3,0)</f>
        <v>Véhicules usagés</v>
      </c>
      <c r="V326" s="152" t="str">
        <f>+VLOOKUP($L326,Data_Validation!$A:$D,4,0)</f>
        <v>Rev. Protections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1222</v>
      </c>
      <c r="B327" s="708" t="s">
        <v>469</v>
      </c>
      <c r="C327" s="709">
        <v>-6578.54</v>
      </c>
      <c r="D327" s="709">
        <v>-1707.68</v>
      </c>
      <c r="E327" s="709">
        <v>-8286.2199999999993</v>
      </c>
      <c r="F327" s="708" t="s">
        <v>2006</v>
      </c>
      <c r="G327" s="708" t="s">
        <v>441</v>
      </c>
      <c r="H327" s="709" t="s">
        <v>2997</v>
      </c>
      <c r="I327" s="710"/>
      <c r="J327" s="710"/>
      <c r="K327" s="710"/>
      <c r="L327" s="149" t="str">
        <f t="shared" si="25"/>
        <v>461G</v>
      </c>
      <c r="M327" s="150" t="str">
        <f t="shared" si="26"/>
        <v>VTE - M/O ENTRETIEN BMW I</v>
      </c>
      <c r="N327" s="151">
        <f>+IF(OR($Q327=Parametres!$G$2,$Q327=Parametres!$G$3),I327,C327)</f>
        <v>-6578.54</v>
      </c>
      <c r="O327" s="151">
        <f>+IF(OR($Q327=Parametres!$G$2,$Q327=Parametres!$G$3),J327,D327)</f>
        <v>-1707.68</v>
      </c>
      <c r="P327" s="151">
        <f>+IF(OR($Q327=Parametres!$G$2,$Q327=Parametres!$G$3),K327,E327)</f>
        <v>-8286.2199999999993</v>
      </c>
      <c r="Q327" s="150" t="str">
        <f t="shared" si="27"/>
        <v>5-Ventes</v>
      </c>
      <c r="R327" s="149" t="str">
        <f t="shared" si="28"/>
        <v>461D</v>
      </c>
      <c r="S327" s="150" t="str">
        <f t="shared" si="29"/>
        <v>_</v>
      </c>
      <c r="T327" s="152" t="str">
        <f>+VLOOKUP($L327,Data_Validation!$A:$D,1,0)</f>
        <v>461G</v>
      </c>
      <c r="U327" s="152" t="str">
        <f>+VLOOKUP($L327,Data_Validation!$A:$D,3,0)</f>
        <v>service</v>
      </c>
      <c r="V327" s="152" t="str">
        <f>+VLOOKUP($L327,Data_Validation!$A:$D,4,0)</f>
        <v>M/O Garantie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2081</v>
      </c>
      <c r="B328" s="708" t="s">
        <v>2082</v>
      </c>
      <c r="C328" s="710">
        <v>-5327.31</v>
      </c>
      <c r="D328" s="710">
        <v>0</v>
      </c>
      <c r="E328" s="710">
        <v>-5327.31</v>
      </c>
      <c r="F328" s="708" t="s">
        <v>2006</v>
      </c>
      <c r="G328" s="708" t="s">
        <v>2082</v>
      </c>
      <c r="H328" s="664" t="s">
        <v>2997</v>
      </c>
      <c r="I328" s="663"/>
      <c r="J328" s="663"/>
      <c r="K328" s="663"/>
      <c r="L328" s="149" t="str">
        <f t="shared" si="25"/>
        <v>471A</v>
      </c>
      <c r="M328" s="150" t="str">
        <f t="shared" si="26"/>
        <v>VTE - PIECES BT CARROSS. BMW AUTO</v>
      </c>
      <c r="N328" s="151">
        <f>+IF(OR($Q328=Parametres!$G$2,$Q328=Parametres!$G$3),I328,C328)</f>
        <v>-5327.31</v>
      </c>
      <c r="O328" s="151">
        <f>+IF(OR($Q328=Parametres!$G$2,$Q328=Parametres!$G$3),J328,D328)</f>
        <v>0</v>
      </c>
      <c r="P328" s="151">
        <f>+IF(OR($Q328=Parametres!$G$2,$Q328=Parametres!$G$3),K328,E328)</f>
        <v>-5327.31</v>
      </c>
      <c r="Q328" s="150" t="str">
        <f t="shared" si="27"/>
        <v>5-Ventes</v>
      </c>
      <c r="R328" s="149" t="str">
        <f t="shared" si="28"/>
        <v>471A</v>
      </c>
      <c r="S328" s="150" t="str">
        <f t="shared" si="29"/>
        <v>_</v>
      </c>
      <c r="T328" s="152" t="str">
        <f>+VLOOKUP($L328,Data_Validation!$A:$D,1,0)</f>
        <v>471A</v>
      </c>
      <c r="U328" s="152" t="str">
        <f>+VLOOKUP($L328,Data_Validation!$A:$D,3,0)</f>
        <v>Pièces</v>
      </c>
      <c r="V328" s="152" t="str">
        <f>+VLOOKUP($L328,Data_Validation!$A:$D,4,0)</f>
        <v>Pièces Ro Carrosserie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3005</v>
      </c>
      <c r="B329" s="708" t="s">
        <v>2845</v>
      </c>
      <c r="C329" s="710">
        <v>-5299.97</v>
      </c>
      <c r="D329" s="710">
        <v>0</v>
      </c>
      <c r="E329" s="710">
        <v>-5299.97</v>
      </c>
      <c r="F329" s="708" t="s">
        <v>2006</v>
      </c>
      <c r="G329" s="708" t="s">
        <v>1012</v>
      </c>
      <c r="H329" s="664" t="s">
        <v>2997</v>
      </c>
      <c r="I329" s="663"/>
      <c r="J329" s="663"/>
      <c r="K329" s="663"/>
      <c r="L329" s="149" t="str">
        <f t="shared" si="25"/>
        <v>454T</v>
      </c>
      <c r="M329" s="150" t="str">
        <f t="shared" si="26"/>
        <v>VTES -VTES -TRAITEMENT PROTECTION USAGE BMW N</v>
      </c>
      <c r="N329" s="151">
        <f>+IF(OR($Q329=Parametres!$G$2,$Q329=Parametres!$G$3),I329,C329)</f>
        <v>-5299.97</v>
      </c>
      <c r="O329" s="151">
        <f>+IF(OR($Q329=Parametres!$G$2,$Q329=Parametres!$G$3),J329,D329)</f>
        <v>0</v>
      </c>
      <c r="P329" s="151">
        <f>+IF(OR($Q329=Parametres!$G$2,$Q329=Parametres!$G$3),K329,E329)</f>
        <v>-5299.97</v>
      </c>
      <c r="Q329" s="150" t="str">
        <f t="shared" si="27"/>
        <v>5-Ventes</v>
      </c>
      <c r="R329" s="149" t="str">
        <f t="shared" si="28"/>
        <v>450</v>
      </c>
      <c r="S329" s="150" t="str">
        <f t="shared" si="29"/>
        <v>_</v>
      </c>
      <c r="T329" s="152" t="str">
        <f>+VLOOKUP($L329,Data_Validation!$A:$D,1,0)</f>
        <v>454T</v>
      </c>
      <c r="U329" s="152" t="str">
        <f>+VLOOKUP($L329,Data_Validation!$A:$D,3,0)</f>
        <v>Véhicules usagés</v>
      </c>
      <c r="V329" s="152" t="str">
        <f>+VLOOKUP($L329,Data_Validation!$A:$D,4,0)</f>
        <v>Rev. Autres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1413</v>
      </c>
      <c r="B330" s="708" t="s">
        <v>365</v>
      </c>
      <c r="C330" s="709">
        <v>-4637.87</v>
      </c>
      <c r="D330" s="709">
        <v>0</v>
      </c>
      <c r="E330" s="709">
        <v>-4637.87</v>
      </c>
      <c r="F330" s="708" t="s">
        <v>2006</v>
      </c>
      <c r="G330" s="708" t="s">
        <v>365</v>
      </c>
      <c r="H330" s="709" t="s">
        <v>2997</v>
      </c>
      <c r="I330" s="710"/>
      <c r="J330" s="710"/>
      <c r="K330" s="710"/>
      <c r="L330" s="149" t="str">
        <f t="shared" si="25"/>
        <v>493</v>
      </c>
      <c r="M330" s="150" t="str">
        <f t="shared" si="26"/>
        <v>VTE - M/O CARROSERIE BMW</v>
      </c>
      <c r="N330" s="151">
        <f>+IF(OR($Q330=Parametres!$G$2,$Q330=Parametres!$G$3),I330,C330)</f>
        <v>-4637.87</v>
      </c>
      <c r="O330" s="151">
        <f>+IF(OR($Q330=Parametres!$G$2,$Q330=Parametres!$G$3),J330,D330)</f>
        <v>0</v>
      </c>
      <c r="P330" s="151">
        <f>+IF(OR($Q330=Parametres!$G$2,$Q330=Parametres!$G$3),K330,E330)</f>
        <v>-4637.87</v>
      </c>
      <c r="Q330" s="150" t="str">
        <f t="shared" si="27"/>
        <v>5-Ventes</v>
      </c>
      <c r="R330" s="149" t="str">
        <f t="shared" si="28"/>
        <v>493</v>
      </c>
      <c r="S330" s="150" t="str">
        <f t="shared" si="29"/>
        <v>_</v>
      </c>
      <c r="T330" s="152" t="str">
        <f>+VLOOKUP($L330,Data_Validation!$A:$D,1,0)</f>
        <v>493</v>
      </c>
      <c r="U330" s="152" t="str">
        <f>+VLOOKUP($L330,Data_Validation!$A:$D,3,0)</f>
        <v>carrosserie</v>
      </c>
      <c r="V330" s="152" t="str">
        <f>+VLOOKUP($L330,Data_Validation!$A:$D,4,0)</f>
        <v>M/O 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1230</v>
      </c>
      <c r="B331" s="708" t="s">
        <v>470</v>
      </c>
      <c r="C331" s="710">
        <v>-4181.1000000000004</v>
      </c>
      <c r="D331" s="710">
        <v>-1198.21</v>
      </c>
      <c r="E331" s="710">
        <v>-5379.31</v>
      </c>
      <c r="F331" s="708" t="s">
        <v>2006</v>
      </c>
      <c r="G331" s="708" t="s">
        <v>434</v>
      </c>
      <c r="H331" s="664" t="s">
        <v>2997</v>
      </c>
      <c r="I331" s="663"/>
      <c r="J331" s="663"/>
      <c r="K331" s="663"/>
      <c r="L331" s="149" t="str">
        <f t="shared" si="25"/>
        <v>472G</v>
      </c>
      <c r="M331" s="150" t="str">
        <f t="shared" si="26"/>
        <v>VTE - PIECES ENTRETIEN BMW I</v>
      </c>
      <c r="N331" s="151">
        <f>+IF(OR($Q331=Parametres!$G$2,$Q331=Parametres!$G$3),I331,C331)</f>
        <v>-4181.1000000000004</v>
      </c>
      <c r="O331" s="151">
        <f>+IF(OR($Q331=Parametres!$G$2,$Q331=Parametres!$G$3),J331,D331)</f>
        <v>-1198.21</v>
      </c>
      <c r="P331" s="151">
        <f>+IF(OR($Q331=Parametres!$G$2,$Q331=Parametres!$G$3),K331,E331)</f>
        <v>-5379.31</v>
      </c>
      <c r="Q331" s="150" t="str">
        <f t="shared" si="27"/>
        <v>5-Ventes</v>
      </c>
      <c r="R331" s="149" t="str">
        <f t="shared" si="28"/>
        <v>472D</v>
      </c>
      <c r="S331" s="150" t="str">
        <f t="shared" si="29"/>
        <v>_</v>
      </c>
      <c r="T331" s="152" t="str">
        <f>+VLOOKUP($L331,Data_Validation!$A:$D,1,0)</f>
        <v>472G</v>
      </c>
      <c r="U331" s="152" t="str">
        <f>+VLOOKUP($L331,Data_Validation!$A:$D,3,0)</f>
        <v>pièces</v>
      </c>
      <c r="V331" s="152" t="str">
        <f>+VLOOKUP($L331,Data_Validation!$A:$D,4,0)</f>
        <v>P/A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2096</v>
      </c>
      <c r="B332" s="662" t="s">
        <v>2095</v>
      </c>
      <c r="C332" s="663">
        <v>-2987</v>
      </c>
      <c r="D332" s="663">
        <v>0</v>
      </c>
      <c r="E332" s="663">
        <v>-2987</v>
      </c>
      <c r="F332" s="662" t="s">
        <v>2006</v>
      </c>
      <c r="G332" s="662" t="s">
        <v>374</v>
      </c>
      <c r="H332" s="657" t="s">
        <v>2997</v>
      </c>
      <c r="I332" s="656"/>
      <c r="J332" s="656"/>
      <c r="K332" s="656"/>
      <c r="L332" s="149" t="str">
        <f t="shared" si="25"/>
        <v>451C</v>
      </c>
      <c r="M332" s="150" t="str">
        <f t="shared" si="26"/>
        <v>VTE - ACCESSOIRES USAGE AUTRE</v>
      </c>
      <c r="N332" s="151">
        <f>+IF(OR($Q332=Parametres!$G$2,$Q332=Parametres!$G$3),I332,C332)</f>
        <v>-2987</v>
      </c>
      <c r="O332" s="151">
        <f>+IF(OR($Q332=Parametres!$G$2,$Q332=Parametres!$G$3),J332,D332)</f>
        <v>0</v>
      </c>
      <c r="P332" s="151">
        <f>+IF(OR($Q332=Parametres!$G$2,$Q332=Parametres!$G$3),K332,E332)</f>
        <v>-2987</v>
      </c>
      <c r="Q332" s="150" t="str">
        <f t="shared" si="27"/>
        <v>5-Ventes</v>
      </c>
      <c r="R332" s="149" t="str">
        <f t="shared" si="28"/>
        <v>451</v>
      </c>
      <c r="S332" s="150" t="str">
        <f t="shared" si="29"/>
        <v>_</v>
      </c>
      <c r="T332" s="152" t="str">
        <f>+VLOOKUP($L332,Data_Validation!$A:$D,1,0)</f>
        <v>451C</v>
      </c>
      <c r="U332" s="152" t="str">
        <f>+VLOOKUP($L332,Data_Validation!$A:$D,3,0)</f>
        <v>Véhicules usagés</v>
      </c>
      <c r="V332" s="152" t="str">
        <f>+VLOOKUP($L332,Data_Validation!$A:$D,4,0)</f>
        <v>Rev. Autres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2066</v>
      </c>
      <c r="B333" s="708" t="s">
        <v>2067</v>
      </c>
      <c r="C333" s="710">
        <v>-2710</v>
      </c>
      <c r="D333" s="710">
        <v>0</v>
      </c>
      <c r="E333" s="710">
        <v>-2710</v>
      </c>
      <c r="F333" s="708" t="s">
        <v>2006</v>
      </c>
      <c r="G333" s="708" t="s">
        <v>1012</v>
      </c>
      <c r="H333" s="664" t="s">
        <v>2997</v>
      </c>
      <c r="I333" s="663"/>
      <c r="J333" s="663"/>
      <c r="K333" s="663"/>
      <c r="L333" s="149" t="str">
        <f t="shared" si="25"/>
        <v>454E</v>
      </c>
      <c r="M333" s="150" t="str">
        <f t="shared" si="26"/>
        <v>VTES -PROTEC ESTHETIQUE USAGE BMW NON-CERT</v>
      </c>
      <c r="N333" s="151">
        <f>+IF(OR($Q333=Parametres!$G$2,$Q333=Parametres!$G$3),I333,C333)</f>
        <v>-2710</v>
      </c>
      <c r="O333" s="151">
        <f>+IF(OR($Q333=Parametres!$G$2,$Q333=Parametres!$G$3),J333,D333)</f>
        <v>0</v>
      </c>
      <c r="P333" s="151">
        <f>+IF(OR($Q333=Parametres!$G$2,$Q333=Parametres!$G$3),K333,E333)</f>
        <v>-2710</v>
      </c>
      <c r="Q333" s="150" t="str">
        <f t="shared" si="27"/>
        <v>5-Ventes</v>
      </c>
      <c r="R333" s="149" t="str">
        <f t="shared" si="28"/>
        <v>450</v>
      </c>
      <c r="S333" s="150" t="str">
        <f t="shared" si="29"/>
        <v>_</v>
      </c>
      <c r="T333" s="152" t="str">
        <f>+VLOOKUP($L333,Data_Validation!$A:$D,1,0)</f>
        <v>454E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2128</v>
      </c>
      <c r="B334" s="662" t="s">
        <v>2129</v>
      </c>
      <c r="C334" s="663">
        <v>-1899.99</v>
      </c>
      <c r="D334" s="663">
        <v>-250</v>
      </c>
      <c r="E334" s="663">
        <v>-2149.9899999999998</v>
      </c>
      <c r="F334" s="662" t="s">
        <v>2006</v>
      </c>
      <c r="G334" s="662" t="s">
        <v>1012</v>
      </c>
      <c r="H334" s="657" t="s">
        <v>2997</v>
      </c>
      <c r="I334" s="656"/>
      <c r="J334" s="656"/>
      <c r="K334" s="656"/>
      <c r="L334" s="149" t="str">
        <f t="shared" si="25"/>
        <v>454C</v>
      </c>
      <c r="M334" s="150" t="str">
        <f t="shared" si="26"/>
        <v>VTES -ACCESSOIRES USAGE BMW NON-CERT</v>
      </c>
      <c r="N334" s="151">
        <f>+IF(OR($Q334=Parametres!$G$2,$Q334=Parametres!$G$3),I334,C334)</f>
        <v>-1899.99</v>
      </c>
      <c r="O334" s="151">
        <f>+IF(OR($Q334=Parametres!$G$2,$Q334=Parametres!$G$3),J334,D334)</f>
        <v>-250</v>
      </c>
      <c r="P334" s="151">
        <f>+IF(OR($Q334=Parametres!$G$2,$Q334=Parametres!$G$3),K334,E334)</f>
        <v>-2149.9899999999998</v>
      </c>
      <c r="Q334" s="150" t="str">
        <f t="shared" si="27"/>
        <v>5-Ventes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454C</v>
      </c>
      <c r="U334" s="152" t="str">
        <f>+VLOOKUP($L334,Data_Validation!$A:$D,3,0)</f>
        <v>Véhicules usagés</v>
      </c>
      <c r="V334" s="152" t="str">
        <f>+VLOOKUP($L334,Data_Validation!$A:$D,4,0)</f>
        <v>Rev. Autres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2236</v>
      </c>
      <c r="B335" s="662" t="s">
        <v>2235</v>
      </c>
      <c r="C335" s="663">
        <v>-1784.5</v>
      </c>
      <c r="D335" s="663">
        <v>-162</v>
      </c>
      <c r="E335" s="663">
        <v>-1946.5</v>
      </c>
      <c r="F335" s="662" t="s">
        <v>2006</v>
      </c>
      <c r="G335" s="662" t="s">
        <v>1139</v>
      </c>
      <c r="H335" s="657" t="s">
        <v>2997</v>
      </c>
      <c r="I335" s="656"/>
      <c r="J335" s="656"/>
      <c r="K335" s="656"/>
      <c r="L335" s="149" t="str">
        <f t="shared" si="25"/>
        <v>462N</v>
      </c>
      <c r="M335" s="150" t="str">
        <f t="shared" si="26"/>
        <v>VTES -SUBLET INTERNE ESTHETIQUE</v>
      </c>
      <c r="N335" s="151">
        <f>+IF(OR($Q335=Parametres!$G$2,$Q335=Parametres!$G$3),I335,C335)</f>
        <v>-1784.5</v>
      </c>
      <c r="O335" s="151">
        <f>+IF(OR($Q335=Parametres!$G$2,$Q335=Parametres!$G$3),J335,D335)</f>
        <v>-162</v>
      </c>
      <c r="P335" s="151">
        <f>+IF(OR($Q335=Parametres!$G$2,$Q335=Parametres!$G$3),K335,E335)</f>
        <v>-1946.5</v>
      </c>
      <c r="Q335" s="150" t="str">
        <f t="shared" si="27"/>
        <v>5-Ventes</v>
      </c>
      <c r="R335" s="149" t="str">
        <f t="shared" si="28"/>
        <v>462A</v>
      </c>
      <c r="S335" s="150" t="str">
        <f t="shared" si="29"/>
        <v>_</v>
      </c>
      <c r="T335" s="152" t="str">
        <f>+VLOOKUP($L335,Data_Validation!$A:$D,1,0)</f>
        <v>462N</v>
      </c>
      <c r="U335" s="152" t="str">
        <f>+VLOOKUP($L335,Data_Validation!$A:$D,3,0)</f>
        <v>Service</v>
      </c>
      <c r="V335" s="152" t="str">
        <f>+VLOOKUP($L335,Data_Validation!$A:$D,4,0)</f>
        <v>M/O Interne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1391</v>
      </c>
      <c r="B336" s="708" t="s">
        <v>1392</v>
      </c>
      <c r="C336" s="710">
        <v>-1691.91</v>
      </c>
      <c r="D336" s="710">
        <v>0</v>
      </c>
      <c r="E336" s="710">
        <v>-1691.91</v>
      </c>
      <c r="F336" s="708" t="s">
        <v>2006</v>
      </c>
      <c r="G336" s="708" t="s">
        <v>625</v>
      </c>
      <c r="H336" s="657" t="s">
        <v>2997</v>
      </c>
      <c r="I336" s="656"/>
      <c r="J336" s="656"/>
      <c r="K336" s="656"/>
      <c r="L336" s="149" t="str">
        <f t="shared" si="25"/>
        <v>430F</v>
      </c>
      <c r="M336" s="150" t="str">
        <f t="shared" si="26"/>
        <v>VTE - RIST FINANCE NEUF BMW AUTO</v>
      </c>
      <c r="N336" s="151">
        <f>+IF(OR($Q336=Parametres!$G$2,$Q336=Parametres!$G$3),I336,C336)</f>
        <v>-1691.91</v>
      </c>
      <c r="O336" s="151">
        <f>+IF(OR($Q336=Parametres!$G$2,$Q336=Parametres!$G$3),J336,D336)</f>
        <v>0</v>
      </c>
      <c r="P336" s="151">
        <f>+IF(OR($Q336=Parametres!$G$2,$Q336=Parametres!$G$3),K336,E336)</f>
        <v>-1691.91</v>
      </c>
      <c r="Q336" s="150" t="str">
        <f t="shared" si="27"/>
        <v>5-Ventes</v>
      </c>
      <c r="R336" s="149" t="str">
        <f t="shared" si="28"/>
        <v>430</v>
      </c>
      <c r="S336" s="150" t="str">
        <f t="shared" si="29"/>
        <v>_</v>
      </c>
      <c r="T336" s="152" t="str">
        <f>+VLOOKUP($L336,Data_Validation!$A:$D,1,0)</f>
        <v>430F</v>
      </c>
      <c r="U336" s="152" t="str">
        <f>+VLOOKUP($L336,Data_Validation!$A:$D,3,0)</f>
        <v>Véhicules neufs</v>
      </c>
      <c r="V336" s="152" t="str">
        <f>+VLOOKUP($L336,Data_Validation!$A:$D,4,0)</f>
        <v>Rev. Finances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1398</v>
      </c>
      <c r="B337" s="662" t="s">
        <v>630</v>
      </c>
      <c r="C337" s="663">
        <v>-1099.95</v>
      </c>
      <c r="D337" s="663">
        <v>0</v>
      </c>
      <c r="E337" s="663">
        <v>-1099.95</v>
      </c>
      <c r="F337" s="662" t="s">
        <v>2006</v>
      </c>
      <c r="G337" s="662" t="s">
        <v>1012</v>
      </c>
      <c r="H337" s="657" t="s">
        <v>2997</v>
      </c>
      <c r="I337" s="656"/>
      <c r="J337" s="656"/>
      <c r="K337" s="656"/>
      <c r="L337" s="149" t="str">
        <f t="shared" si="25"/>
        <v>450C</v>
      </c>
      <c r="M337" s="150" t="str">
        <f t="shared" si="26"/>
        <v>VTES -ACCESSOIRES USAGE BMW CERT</v>
      </c>
      <c r="N337" s="151">
        <f>+IF(OR($Q337=Parametres!$G$2,$Q337=Parametres!$G$3),I337,C337)</f>
        <v>-1099.95</v>
      </c>
      <c r="O337" s="151">
        <f>+IF(OR($Q337=Parametres!$G$2,$Q337=Parametres!$G$3),J337,D337)</f>
        <v>0</v>
      </c>
      <c r="P337" s="151">
        <f>+IF(OR($Q337=Parametres!$G$2,$Q337=Parametres!$G$3),K337,E337)</f>
        <v>-1099.95</v>
      </c>
      <c r="Q337" s="150" t="str">
        <f t="shared" si="27"/>
        <v>5-Ventes</v>
      </c>
      <c r="R337" s="149" t="str">
        <f t="shared" si="28"/>
        <v>450</v>
      </c>
      <c r="S337" s="150" t="str">
        <f t="shared" si="29"/>
        <v>_</v>
      </c>
      <c r="T337" s="152" t="str">
        <f>+VLOOKUP($L337,Data_Validation!$A:$D,1,0)</f>
        <v>450C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2894</v>
      </c>
      <c r="B338" s="708" t="s">
        <v>2895</v>
      </c>
      <c r="C338" s="710">
        <v>-965</v>
      </c>
      <c r="D338" s="710">
        <v>0</v>
      </c>
      <c r="E338" s="710">
        <v>-965</v>
      </c>
      <c r="F338" s="708" t="s">
        <v>2006</v>
      </c>
      <c r="G338" s="708" t="s">
        <v>1012</v>
      </c>
      <c r="H338" s="664" t="s">
        <v>2997</v>
      </c>
      <c r="I338" s="663"/>
      <c r="J338" s="663"/>
      <c r="K338" s="663"/>
      <c r="L338" s="149" t="str">
        <f t="shared" si="25"/>
        <v>454P</v>
      </c>
      <c r="M338" s="150" t="str">
        <f t="shared" si="26"/>
        <v>VTES -PROTEC PNEUS/JANTES USAGE BMW NON-CERT</v>
      </c>
      <c r="N338" s="151">
        <f>+IF(OR($Q338=Parametres!$G$2,$Q338=Parametres!$G$3),I338,C338)</f>
        <v>-965</v>
      </c>
      <c r="O338" s="151">
        <f>+IF(OR($Q338=Parametres!$G$2,$Q338=Parametres!$G$3),J338,D338)</f>
        <v>0</v>
      </c>
      <c r="P338" s="151">
        <f>+IF(OR($Q338=Parametres!$G$2,$Q338=Parametres!$G$3),K338,E338)</f>
        <v>-965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454P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2421</v>
      </c>
      <c r="B339" s="708" t="s">
        <v>2422</v>
      </c>
      <c r="C339" s="710">
        <v>-507.77</v>
      </c>
      <c r="D339" s="710">
        <v>0</v>
      </c>
      <c r="E339" s="710">
        <v>-507.77</v>
      </c>
      <c r="F339" s="708" t="s">
        <v>2006</v>
      </c>
      <c r="G339" s="708" t="s">
        <v>2082</v>
      </c>
      <c r="H339" s="664" t="s">
        <v>2997</v>
      </c>
      <c r="I339" s="663"/>
      <c r="J339" s="663"/>
      <c r="K339" s="663"/>
      <c r="L339" s="149" t="str">
        <f t="shared" si="25"/>
        <v>471B</v>
      </c>
      <c r="M339" s="150" t="str">
        <f t="shared" si="26"/>
        <v>VTE - PIECES BT CARROSS. BMW CAMION</v>
      </c>
      <c r="N339" s="151">
        <f>+IF(OR($Q339=Parametres!$G$2,$Q339=Parametres!$G$3),I339,C339)</f>
        <v>-507.77</v>
      </c>
      <c r="O339" s="151">
        <f>+IF(OR($Q339=Parametres!$G$2,$Q339=Parametres!$G$3),J339,D339)</f>
        <v>0</v>
      </c>
      <c r="P339" s="151">
        <f>+IF(OR($Q339=Parametres!$G$2,$Q339=Parametres!$G$3),K339,E339)</f>
        <v>-507.77</v>
      </c>
      <c r="Q339" s="150" t="str">
        <f t="shared" si="27"/>
        <v>5-Ventes</v>
      </c>
      <c r="R339" s="149" t="str">
        <f t="shared" si="28"/>
        <v>471A</v>
      </c>
      <c r="S339" s="150" t="str">
        <f t="shared" si="29"/>
        <v>_</v>
      </c>
      <c r="T339" s="152" t="str">
        <f>+VLOOKUP($L339,Data_Validation!$A:$D,1,0)</f>
        <v>471B</v>
      </c>
      <c r="U339" s="152" t="str">
        <f>+VLOOKUP($L339,Data_Validation!$A:$D,3,0)</f>
        <v>Pièces</v>
      </c>
      <c r="V339" s="152" t="str">
        <f>+VLOOKUP($L339,Data_Validation!$A:$D,4,0)</f>
        <v>Pièces Ro Carrosserie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1399</v>
      </c>
      <c r="B340" s="662" t="s">
        <v>1400</v>
      </c>
      <c r="C340" s="663">
        <v>-400</v>
      </c>
      <c r="D340" s="663">
        <v>0</v>
      </c>
      <c r="E340" s="663">
        <v>-400</v>
      </c>
      <c r="F340" s="662" t="s">
        <v>2006</v>
      </c>
      <c r="G340" s="662" t="s">
        <v>1012</v>
      </c>
      <c r="H340" s="657" t="s">
        <v>2997</v>
      </c>
      <c r="I340" s="656"/>
      <c r="J340" s="656"/>
      <c r="K340" s="656"/>
      <c r="L340" s="149" t="str">
        <f t="shared" si="25"/>
        <v>450P</v>
      </c>
      <c r="M340" s="150" t="str">
        <f t="shared" si="26"/>
        <v>VTES -PROTEC PNEUS/JANTES USAGE BMW CERT</v>
      </c>
      <c r="N340" s="151">
        <f>+IF(OR($Q340=Parametres!$G$2,$Q340=Parametres!$G$3),I340,C340)</f>
        <v>-400</v>
      </c>
      <c r="O340" s="151">
        <f>+IF(OR($Q340=Parametres!$G$2,$Q340=Parametres!$G$3),J340,D340)</f>
        <v>0</v>
      </c>
      <c r="P340" s="151">
        <f>+IF(OR($Q340=Parametres!$G$2,$Q340=Parametres!$G$3),K340,E340)</f>
        <v>-400</v>
      </c>
      <c r="Q340" s="150" t="str">
        <f t="shared" si="27"/>
        <v>5-Ventes</v>
      </c>
      <c r="R340" s="149" t="str">
        <f t="shared" si="28"/>
        <v>450</v>
      </c>
      <c r="S340" s="150" t="str">
        <f t="shared" si="29"/>
        <v>_</v>
      </c>
      <c r="T340" s="152" t="str">
        <f>+VLOOKUP($L340,Data_Validation!$A:$D,1,0)</f>
        <v>450P</v>
      </c>
      <c r="U340" s="152" t="str">
        <f>+VLOOKUP($L340,Data_Validation!$A:$D,3,0)</f>
        <v>Véhicules usagés</v>
      </c>
      <c r="V340" s="152" t="str">
        <f>+VLOOKUP($L340,Data_Validation!$A:$D,4,0)</f>
        <v>Rev. Protections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2117</v>
      </c>
      <c r="B341" s="662" t="s">
        <v>2118</v>
      </c>
      <c r="C341" s="663">
        <v>0</v>
      </c>
      <c r="D341" s="663">
        <v>223.5</v>
      </c>
      <c r="E341" s="663">
        <v>223.5</v>
      </c>
      <c r="F341" s="662" t="s">
        <v>2006</v>
      </c>
      <c r="G341" s="662" t="s">
        <v>3015</v>
      </c>
      <c r="H341" s="657" t="s">
        <v>2997</v>
      </c>
      <c r="I341" s="656"/>
      <c r="J341" s="656"/>
      <c r="K341" s="656"/>
      <c r="L341" s="149" t="str">
        <f t="shared" si="25"/>
        <v>476A</v>
      </c>
      <c r="M341" s="150" t="str">
        <f t="shared" si="26"/>
        <v>VTE - AJUSTEMENT PIECES</v>
      </c>
      <c r="N341" s="151">
        <f>+IF(OR($Q341=Parametres!$G$2,$Q341=Parametres!$G$3),I341,C341)</f>
        <v>0</v>
      </c>
      <c r="O341" s="151">
        <f>+IF(OR($Q341=Parametres!$G$2,$Q341=Parametres!$G$3),J341,D341)</f>
        <v>223.5</v>
      </c>
      <c r="P341" s="151">
        <f>+IF(OR($Q341=Parametres!$G$2,$Q341=Parametres!$G$3),K341,E341)</f>
        <v>223.5</v>
      </c>
      <c r="Q341" s="150" t="str">
        <f t="shared" si="27"/>
        <v>5-Ventes</v>
      </c>
      <c r="R341" s="149" t="str">
        <f t="shared" si="28"/>
        <v>476</v>
      </c>
      <c r="S341" s="150" t="str">
        <f t="shared" si="29"/>
        <v>_</v>
      </c>
      <c r="T341" s="152" t="str">
        <f>+VLOOKUP($L341,Data_Validation!$A:$D,1,0)</f>
        <v>476A</v>
      </c>
      <c r="U341" s="152" t="str">
        <f>+VLOOKUP($L341,Data_Validation!$A:$D,3,0)</f>
        <v>Pièces</v>
      </c>
      <c r="V341" s="152" t="str">
        <f>+VLOOKUP($L341,Data_Validation!$A:$D,4,0)</f>
        <v>Escomptes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08" t="s">
        <v>1104</v>
      </c>
      <c r="B342" s="708" t="s">
        <v>426</v>
      </c>
      <c r="C342" s="710">
        <v>-386124.2</v>
      </c>
      <c r="D342" s="710">
        <v>-31024</v>
      </c>
      <c r="E342" s="710">
        <v>-417148.2</v>
      </c>
      <c r="F342" s="708" t="s">
        <v>2014</v>
      </c>
      <c r="G342" s="708" t="s">
        <v>2251</v>
      </c>
      <c r="H342" s="664" t="s">
        <v>2997</v>
      </c>
      <c r="I342" s="664"/>
      <c r="J342" s="664"/>
      <c r="K342" s="664"/>
      <c r="L342" s="149" t="str">
        <f t="shared" si="25"/>
        <v>617A</v>
      </c>
      <c r="M342" s="150" t="str">
        <f t="shared" si="26"/>
        <v>RESERVE DETAILLANT</v>
      </c>
      <c r="N342" s="151">
        <f>+IF(OR($Q342=Parametres!$G$2,$Q342=Parametres!$G$3),I342,C342)</f>
        <v>-386124.2</v>
      </c>
      <c r="O342" s="151">
        <f>+IF(OR($Q342=Parametres!$G$2,$Q342=Parametres!$G$3),J342,D342)</f>
        <v>-31024</v>
      </c>
      <c r="P342" s="151">
        <f>+IF(OR($Q342=Parametres!$G$2,$Q342=Parametres!$G$3),K342,E342)</f>
        <v>-417148.2</v>
      </c>
      <c r="Q342" s="150" t="str">
        <f t="shared" si="27"/>
        <v>6-Coût des ventes</v>
      </c>
      <c r="R342" s="149" t="str">
        <f t="shared" si="28"/>
        <v>617</v>
      </c>
      <c r="S342" s="150" t="str">
        <f t="shared" si="29"/>
        <v>_</v>
      </c>
      <c r="T342" s="152" t="str">
        <f>+VLOOKUP($L342,Data_Validation!$A:$D,1,0)</f>
        <v>617A</v>
      </c>
      <c r="U342" s="152" t="str">
        <f>+VLOOKUP($L342,Data_Validation!$A:$D,3,0)</f>
        <v>Véhicules neufs</v>
      </c>
      <c r="V342" s="152" t="str">
        <f>+VLOOKUP($L342,Data_Validation!$A:$D,4,0)</f>
        <v>holdbacks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1204</v>
      </c>
      <c r="B343" s="708" t="s">
        <v>1205</v>
      </c>
      <c r="C343" s="710">
        <v>-88326.61</v>
      </c>
      <c r="D343" s="710">
        <v>-7886.26</v>
      </c>
      <c r="E343" s="710">
        <v>-96212.87</v>
      </c>
      <c r="F343" s="708" t="s">
        <v>2014</v>
      </c>
      <c r="G343" s="708" t="s">
        <v>2252</v>
      </c>
      <c r="H343" s="664" t="s">
        <v>2997</v>
      </c>
      <c r="I343" s="663"/>
      <c r="J343" s="663"/>
      <c r="K343" s="663"/>
      <c r="L343" s="149" t="str">
        <f t="shared" si="25"/>
        <v>677A</v>
      </c>
      <c r="M343" s="150" t="str">
        <f t="shared" si="26"/>
        <v>C/V - RABAIS ACHAT VOLUME BMW AUTO</v>
      </c>
      <c r="N343" s="151">
        <f>+IF(OR($Q343=Parametres!$G$2,$Q343=Parametres!$G$3),I343,C343)</f>
        <v>-88326.61</v>
      </c>
      <c r="O343" s="151">
        <f>+IF(OR($Q343=Parametres!$G$2,$Q343=Parametres!$G$3),J343,D343)</f>
        <v>-7886.26</v>
      </c>
      <c r="P343" s="151">
        <f>+IF(OR($Q343=Parametres!$G$2,$Q343=Parametres!$G$3),K343,E343)</f>
        <v>-96212.87</v>
      </c>
      <c r="Q343" s="150" t="str">
        <f t="shared" si="27"/>
        <v>6-Coût des ventes</v>
      </c>
      <c r="R343" s="149" t="str">
        <f t="shared" si="28"/>
        <v>477</v>
      </c>
      <c r="S343" s="150" t="str">
        <f t="shared" si="29"/>
        <v>_</v>
      </c>
      <c r="T343" s="152" t="str">
        <f>+VLOOKUP($L343,Data_Validation!$A:$D,1,0)</f>
        <v>677A</v>
      </c>
      <c r="U343" s="152" t="str">
        <f>+VLOOKUP($L343,Data_Validation!$A:$D,3,0)</f>
        <v>pièces</v>
      </c>
      <c r="V343" s="152" t="str">
        <f>+VLOOKUP($L343,Data_Validation!$A:$D,4,0)</f>
        <v>Escomptes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1429</v>
      </c>
      <c r="B344" s="708" t="s">
        <v>657</v>
      </c>
      <c r="C344" s="710">
        <v>-750</v>
      </c>
      <c r="D344" s="710">
        <v>0</v>
      </c>
      <c r="E344" s="710">
        <v>-750</v>
      </c>
      <c r="F344" s="708" t="s">
        <v>2014</v>
      </c>
      <c r="G344" s="708" t="s">
        <v>619</v>
      </c>
      <c r="H344" s="657" t="s">
        <v>2997</v>
      </c>
      <c r="I344" s="656"/>
      <c r="J344" s="656"/>
      <c r="K344" s="656"/>
      <c r="L344" s="149" t="str">
        <f t="shared" si="25"/>
        <v>623G</v>
      </c>
      <c r="M344" s="150" t="str">
        <f t="shared" si="26"/>
        <v>C/V - X3 XDR M40I</v>
      </c>
      <c r="N344" s="151">
        <f>+IF(OR($Q344=Parametres!$G$2,$Q344=Parametres!$G$3),I344,C344)</f>
        <v>-750</v>
      </c>
      <c r="O344" s="151">
        <f>+IF(OR($Q344=Parametres!$G$2,$Q344=Parametres!$G$3),J344,D344)</f>
        <v>0</v>
      </c>
      <c r="P344" s="151">
        <f>+IF(OR($Q344=Parametres!$G$2,$Q344=Parametres!$G$3),K344,E344)</f>
        <v>-750</v>
      </c>
      <c r="Q344" s="150" t="str">
        <f t="shared" si="27"/>
        <v>6-Coût des ventes</v>
      </c>
      <c r="R344" s="149" t="str">
        <f t="shared" si="28"/>
        <v>423G</v>
      </c>
      <c r="S344" s="150" t="str">
        <f t="shared" si="29"/>
        <v>_</v>
      </c>
      <c r="T344" s="152" t="str">
        <f>+VLOOKUP($L344,Data_Validation!$A:$D,1,0)</f>
        <v>623G</v>
      </c>
      <c r="U344" s="152" t="str">
        <f>+VLOOKUP($L344,Data_Validation!$A:$D,3,0)</f>
        <v>Véhicules neufs</v>
      </c>
      <c r="V344" s="152" t="str">
        <f>+VLOOKUP($L344,Data_Validation!$A:$D,4,0)</f>
        <v>Camions détail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2223</v>
      </c>
      <c r="B345" s="662" t="s">
        <v>2224</v>
      </c>
      <c r="C345" s="663">
        <v>0</v>
      </c>
      <c r="D345" s="663">
        <v>-20577.169999999998</v>
      </c>
      <c r="E345" s="663">
        <v>-20577.169999999998</v>
      </c>
      <c r="F345" s="662" t="s">
        <v>2014</v>
      </c>
      <c r="G345" s="662" t="s">
        <v>2224</v>
      </c>
      <c r="H345" s="657" t="s">
        <v>2997</v>
      </c>
      <c r="I345" s="656"/>
      <c r="J345" s="656"/>
      <c r="K345" s="656"/>
      <c r="L345" s="149" t="str">
        <f t="shared" si="25"/>
        <v>676A</v>
      </c>
      <c r="M345" s="150" t="str">
        <f t="shared" si="26"/>
        <v>C/V - AJUST. INV. PIECE BMW AUTO</v>
      </c>
      <c r="N345" s="151">
        <f>+IF(OR($Q345=Parametres!$G$2,$Q345=Parametres!$G$3),I345,C345)</f>
        <v>0</v>
      </c>
      <c r="O345" s="151">
        <f>+IF(OR($Q345=Parametres!$G$2,$Q345=Parametres!$G$3),J345,D345)</f>
        <v>-20577.169999999998</v>
      </c>
      <c r="P345" s="151">
        <f>+IF(OR($Q345=Parametres!$G$2,$Q345=Parametres!$G$3),K345,E345)</f>
        <v>-20577.169999999998</v>
      </c>
      <c r="Q345" s="150" t="str">
        <f t="shared" si="27"/>
        <v>6-Coût des ventes</v>
      </c>
      <c r="R345" s="149" t="str">
        <f t="shared" si="28"/>
        <v>676A</v>
      </c>
      <c r="S345" s="150" t="str">
        <f t="shared" si="29"/>
        <v>_</v>
      </c>
      <c r="T345" s="152" t="str">
        <f>+VLOOKUP($L345,Data_Validation!$A:$D,1,0)</f>
        <v>676A</v>
      </c>
      <c r="U345" s="152" t="str">
        <f>+VLOOKUP($L345,Data_Validation!$A:$D,3,0)</f>
        <v>Pièces</v>
      </c>
      <c r="V345" s="152" t="str">
        <f>+VLOOKUP($L345,Data_Validation!$A:$D,4,0)</f>
        <v>Rectif. Inventaire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2423</v>
      </c>
      <c r="B346" s="708" t="s">
        <v>2424</v>
      </c>
      <c r="C346" s="710">
        <v>265.70999999999998</v>
      </c>
      <c r="D346" s="710">
        <v>0</v>
      </c>
      <c r="E346" s="710">
        <v>265.70999999999998</v>
      </c>
      <c r="F346" s="708" t="s">
        <v>2014</v>
      </c>
      <c r="G346" s="708" t="s">
        <v>2082</v>
      </c>
      <c r="H346" s="664" t="s">
        <v>2997</v>
      </c>
      <c r="I346" s="663"/>
      <c r="J346" s="663"/>
      <c r="K346" s="663"/>
      <c r="L346" s="149" t="str">
        <f t="shared" si="25"/>
        <v>671B</v>
      </c>
      <c r="M346" s="150" t="str">
        <f t="shared" si="26"/>
        <v>C/V - PIECES BT CARROSS. BMW CAMION</v>
      </c>
      <c r="N346" s="151">
        <f>+IF(OR($Q346=Parametres!$G$2,$Q346=Parametres!$G$3),I346,C346)</f>
        <v>265.70999999999998</v>
      </c>
      <c r="O346" s="151">
        <f>+IF(OR($Q346=Parametres!$G$2,$Q346=Parametres!$G$3),J346,D346)</f>
        <v>0</v>
      </c>
      <c r="P346" s="151">
        <f>+IF(OR($Q346=Parametres!$G$2,$Q346=Parametres!$G$3),K346,E346)</f>
        <v>265.70999999999998</v>
      </c>
      <c r="Q346" s="150" t="str">
        <f t="shared" si="27"/>
        <v>6-Coût des ventes</v>
      </c>
      <c r="R346" s="149" t="str">
        <f t="shared" si="28"/>
        <v>471A</v>
      </c>
      <c r="S346" s="150" t="str">
        <f t="shared" si="29"/>
        <v>_</v>
      </c>
      <c r="T346" s="152" t="str">
        <f>+VLOOKUP($L346,Data_Validation!$A:$D,1,0)</f>
        <v>671B</v>
      </c>
      <c r="U346" s="152" t="str">
        <f>+VLOOKUP($L346,Data_Validation!$A:$D,3,0)</f>
        <v>Pièces</v>
      </c>
      <c r="V346" s="152" t="str">
        <f>+VLOOKUP($L346,Data_Validation!$A:$D,4,0)</f>
        <v>Pièces Ro Carrosserie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2887</v>
      </c>
      <c r="B347" s="708" t="s">
        <v>2888</v>
      </c>
      <c r="C347" s="710">
        <v>465</v>
      </c>
      <c r="D347" s="710">
        <v>0</v>
      </c>
      <c r="E347" s="710">
        <v>465</v>
      </c>
      <c r="F347" s="708" t="s">
        <v>2014</v>
      </c>
      <c r="G347" s="708" t="s">
        <v>1012</v>
      </c>
      <c r="H347" s="664" t="s">
        <v>2997</v>
      </c>
      <c r="I347" s="664"/>
      <c r="J347" s="664"/>
      <c r="K347" s="664"/>
      <c r="L347" s="149" t="str">
        <f t="shared" si="25"/>
        <v>654P</v>
      </c>
      <c r="M347" s="150" t="str">
        <f t="shared" si="26"/>
        <v>C/V - PROTEC PNEUS/JANTES USAGE BMW NON-CERT</v>
      </c>
      <c r="N347" s="151">
        <f>+IF(OR($Q347=Parametres!$G$2,$Q347=Parametres!$G$3),I347,C347)</f>
        <v>465</v>
      </c>
      <c r="O347" s="151">
        <f>+IF(OR($Q347=Parametres!$G$2,$Q347=Parametres!$G$3),J347,D347)</f>
        <v>0</v>
      </c>
      <c r="P347" s="151">
        <f>+IF(OR($Q347=Parametres!$G$2,$Q347=Parametres!$G$3),K347,E347)</f>
        <v>465</v>
      </c>
      <c r="Q347" s="150" t="str">
        <f t="shared" si="27"/>
        <v>6-Coût des 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654P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1439</v>
      </c>
      <c r="B348" s="708" t="s">
        <v>669</v>
      </c>
      <c r="C348" s="710">
        <v>670</v>
      </c>
      <c r="D348" s="710">
        <v>0</v>
      </c>
      <c r="E348" s="710">
        <v>670</v>
      </c>
      <c r="F348" s="708" t="s">
        <v>2014</v>
      </c>
      <c r="G348" s="708" t="s">
        <v>1012</v>
      </c>
      <c r="H348" s="664" t="s">
        <v>2997</v>
      </c>
      <c r="I348" s="663"/>
      <c r="J348" s="663"/>
      <c r="K348" s="663"/>
      <c r="L348" s="149" t="str">
        <f t="shared" si="25"/>
        <v>650C</v>
      </c>
      <c r="M348" s="150" t="str">
        <f t="shared" si="26"/>
        <v>C/V - ACCESSOIRES USAGE BMW CERT</v>
      </c>
      <c r="N348" s="151">
        <f>+IF(OR($Q348=Parametres!$G$2,$Q348=Parametres!$G$3),I348,C348)</f>
        <v>670</v>
      </c>
      <c r="O348" s="151">
        <f>+IF(OR($Q348=Parametres!$G$2,$Q348=Parametres!$G$3),J348,D348)</f>
        <v>0</v>
      </c>
      <c r="P348" s="151">
        <f>+IF(OR($Q348=Parametres!$G$2,$Q348=Parametres!$G$3),K348,E348)</f>
        <v>670</v>
      </c>
      <c r="Q348" s="150" t="str">
        <f t="shared" si="27"/>
        <v>6-Coût des 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650C</v>
      </c>
      <c r="U348" s="152" t="str">
        <f>+VLOOKUP($L348,Data_Validation!$A:$D,3,0)</f>
        <v>Véhicules usagés</v>
      </c>
      <c r="V348" s="152" t="str">
        <f>+VLOOKUP($L348,Data_Validation!$A:$D,4,0)</f>
        <v>Rev.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2070</v>
      </c>
      <c r="B349" s="708" t="s">
        <v>2071</v>
      </c>
      <c r="C349" s="709">
        <v>1210</v>
      </c>
      <c r="D349" s="709">
        <v>0</v>
      </c>
      <c r="E349" s="709">
        <v>1210</v>
      </c>
      <c r="F349" s="708" t="s">
        <v>2014</v>
      </c>
      <c r="G349" s="708" t="s">
        <v>1012</v>
      </c>
      <c r="H349" s="709" t="s">
        <v>2997</v>
      </c>
      <c r="I349" s="710"/>
      <c r="J349" s="710"/>
      <c r="K349" s="710"/>
      <c r="L349" s="149" t="str">
        <f t="shared" si="25"/>
        <v>654E</v>
      </c>
      <c r="M349" s="150" t="str">
        <f t="shared" si="26"/>
        <v>C/V - PROTEC ESTHETIQUE USAGE BMW NON-CERT</v>
      </c>
      <c r="N349" s="151">
        <f>+IF(OR($Q349=Parametres!$G$2,$Q349=Parametres!$G$3),I349,C349)</f>
        <v>1210</v>
      </c>
      <c r="O349" s="151">
        <f>+IF(OR($Q349=Parametres!$G$2,$Q349=Parametres!$G$3),J349,D349)</f>
        <v>0</v>
      </c>
      <c r="P349" s="151">
        <f>+IF(OR($Q349=Parametres!$G$2,$Q349=Parametres!$G$3),K349,E349)</f>
        <v>1210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654E</v>
      </c>
      <c r="U349" s="152" t="str">
        <f>+VLOOKUP($L349,Data_Validation!$A:$D,3,0)</f>
        <v>Véhicules usagés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2240</v>
      </c>
      <c r="B350" s="708" t="s">
        <v>2239</v>
      </c>
      <c r="C350" s="709">
        <v>1276</v>
      </c>
      <c r="D350" s="709">
        <v>120</v>
      </c>
      <c r="E350" s="709">
        <v>1396</v>
      </c>
      <c r="F350" s="708" t="s">
        <v>2014</v>
      </c>
      <c r="G350" s="708" t="s">
        <v>1139</v>
      </c>
      <c r="H350" s="709" t="s">
        <v>2997</v>
      </c>
      <c r="I350" s="710"/>
      <c r="J350" s="710"/>
      <c r="K350" s="710"/>
      <c r="L350" s="149" t="str">
        <f t="shared" si="25"/>
        <v>662N</v>
      </c>
      <c r="M350" s="150" t="str">
        <f t="shared" si="26"/>
        <v>C/V - SUBLET INTERNE ELECTRIQUE</v>
      </c>
      <c r="N350" s="151">
        <f>+IF(OR($Q350=Parametres!$G$2,$Q350=Parametres!$G$3),I350,C350)</f>
        <v>1276</v>
      </c>
      <c r="O350" s="151">
        <f>+IF(OR($Q350=Parametres!$G$2,$Q350=Parametres!$G$3),J350,D350)</f>
        <v>120</v>
      </c>
      <c r="P350" s="151">
        <f>+IF(OR($Q350=Parametres!$G$2,$Q350=Parametres!$G$3),K350,E350)</f>
        <v>1396</v>
      </c>
      <c r="Q350" s="150" t="str">
        <f t="shared" si="27"/>
        <v>6-Coût des ventes</v>
      </c>
      <c r="R350" s="149" t="str">
        <f t="shared" si="28"/>
        <v>462A</v>
      </c>
      <c r="S350" s="150" t="str">
        <f t="shared" si="29"/>
        <v>_</v>
      </c>
      <c r="T350" s="152" t="str">
        <f>+VLOOKUP($L350,Data_Validation!$A:$D,1,0)</f>
        <v>662N</v>
      </c>
      <c r="U350" s="152" t="str">
        <f>+VLOOKUP($L350,Data_Validation!$A:$D,3,0)</f>
        <v>Service</v>
      </c>
      <c r="V350" s="152" t="str">
        <f>+VLOOKUP($L350,Data_Validation!$A:$D,4,0)</f>
        <v>M/O Interne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2104</v>
      </c>
      <c r="B351" s="708" t="s">
        <v>2103</v>
      </c>
      <c r="C351" s="710">
        <v>1648</v>
      </c>
      <c r="D351" s="710">
        <v>0</v>
      </c>
      <c r="E351" s="710">
        <v>1648</v>
      </c>
      <c r="F351" s="708" t="s">
        <v>2014</v>
      </c>
      <c r="G351" s="708" t="s">
        <v>374</v>
      </c>
      <c r="H351" s="664" t="s">
        <v>2997</v>
      </c>
      <c r="I351" s="663"/>
      <c r="J351" s="663"/>
      <c r="K351" s="663"/>
      <c r="L351" s="149" t="str">
        <f t="shared" si="25"/>
        <v>651C</v>
      </c>
      <c r="M351" s="150" t="str">
        <f t="shared" si="26"/>
        <v>C/V - ACCESSOIRES USAGE AUTRE</v>
      </c>
      <c r="N351" s="151">
        <f>+IF(OR($Q351=Parametres!$G$2,$Q351=Parametres!$G$3),I351,C351)</f>
        <v>1648</v>
      </c>
      <c r="O351" s="151">
        <f>+IF(OR($Q351=Parametres!$G$2,$Q351=Parametres!$G$3),J351,D351)</f>
        <v>0</v>
      </c>
      <c r="P351" s="151">
        <f>+IF(OR($Q351=Parametres!$G$2,$Q351=Parametres!$G$3),K351,E351)</f>
        <v>1648</v>
      </c>
      <c r="Q351" s="150" t="str">
        <f t="shared" si="27"/>
        <v>6-Coût des ventes</v>
      </c>
      <c r="R351" s="149" t="str">
        <f t="shared" si="28"/>
        <v>451</v>
      </c>
      <c r="S351" s="150" t="str">
        <f t="shared" si="29"/>
        <v>_</v>
      </c>
      <c r="T351" s="152" t="str">
        <f>+VLOOKUP($L351,Data_Validation!$A:$D,1,0)</f>
        <v>651C</v>
      </c>
      <c r="U351" s="152" t="str">
        <f>+VLOOKUP($L351,Data_Validation!$A:$D,3,0)</f>
        <v>Véhicules usagés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1620</v>
      </c>
      <c r="B352" s="662" t="s">
        <v>822</v>
      </c>
      <c r="C352" s="663">
        <v>1682.93</v>
      </c>
      <c r="D352" s="663">
        <v>486.46</v>
      </c>
      <c r="E352" s="663">
        <v>2169.39</v>
      </c>
      <c r="F352" s="662" t="s">
        <v>2014</v>
      </c>
      <c r="G352" s="662" t="s">
        <v>441</v>
      </c>
      <c r="H352" s="657" t="s">
        <v>2997</v>
      </c>
      <c r="I352" s="656"/>
      <c r="J352" s="656"/>
      <c r="K352" s="656"/>
      <c r="L352" s="149" t="str">
        <f t="shared" si="25"/>
        <v>661G</v>
      </c>
      <c r="M352" s="150" t="str">
        <f t="shared" si="26"/>
        <v>C/V - M/O ENTRETIEN BMW I</v>
      </c>
      <c r="N352" s="151">
        <f>+IF(OR($Q352=Parametres!$G$2,$Q352=Parametres!$G$3),I352,C352)</f>
        <v>1682.93</v>
      </c>
      <c r="O352" s="151">
        <f>+IF(OR($Q352=Parametres!$G$2,$Q352=Parametres!$G$3),J352,D352)</f>
        <v>486.46</v>
      </c>
      <c r="P352" s="151">
        <f>+IF(OR($Q352=Parametres!$G$2,$Q352=Parametres!$G$3),K352,E352)</f>
        <v>2169.39</v>
      </c>
      <c r="Q352" s="150" t="str">
        <f t="shared" si="27"/>
        <v>6-Coût des ventes</v>
      </c>
      <c r="R352" s="149" t="str">
        <f t="shared" si="28"/>
        <v>461D</v>
      </c>
      <c r="S352" s="150" t="str">
        <f t="shared" si="29"/>
        <v>_</v>
      </c>
      <c r="T352" s="152" t="str">
        <f>+VLOOKUP($L352,Data_Validation!$A:$D,1,0)</f>
        <v>661G</v>
      </c>
      <c r="U352" s="152" t="str">
        <f>+VLOOKUP($L352,Data_Validation!$A:$D,3,0)</f>
        <v>service</v>
      </c>
      <c r="V352" s="152" t="str">
        <f>+VLOOKUP($L352,Data_Validation!$A:$D,4,0)</f>
        <v>M/O Garantie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2132</v>
      </c>
      <c r="B353" s="708" t="s">
        <v>2133</v>
      </c>
      <c r="C353" s="710">
        <v>1767</v>
      </c>
      <c r="D353" s="710">
        <v>154</v>
      </c>
      <c r="E353" s="710">
        <v>1921</v>
      </c>
      <c r="F353" s="708" t="s">
        <v>2014</v>
      </c>
      <c r="G353" s="708" t="s">
        <v>1012</v>
      </c>
      <c r="H353" s="664" t="s">
        <v>2997</v>
      </c>
      <c r="I353" s="663"/>
      <c r="J353" s="663"/>
      <c r="K353" s="663"/>
      <c r="L353" s="149" t="str">
        <f t="shared" si="25"/>
        <v>654C</v>
      </c>
      <c r="M353" s="150" t="str">
        <f t="shared" si="26"/>
        <v>C/V - ACCESSOIRES USAGE BMW NON-CERT</v>
      </c>
      <c r="N353" s="151">
        <f>+IF(OR($Q353=Parametres!$G$2,$Q353=Parametres!$G$3),I353,C353)</f>
        <v>1767</v>
      </c>
      <c r="O353" s="151">
        <f>+IF(OR($Q353=Parametres!$G$2,$Q353=Parametres!$G$3),J353,D353)</f>
        <v>154</v>
      </c>
      <c r="P353" s="151">
        <f>+IF(OR($Q353=Parametres!$G$2,$Q353=Parametres!$G$3),K353,E353)</f>
        <v>1921</v>
      </c>
      <c r="Q353" s="150" t="str">
        <f t="shared" si="27"/>
        <v>6-Coût des ventes</v>
      </c>
      <c r="R353" s="149" t="str">
        <f t="shared" si="28"/>
        <v>450</v>
      </c>
      <c r="S353" s="150" t="str">
        <f t="shared" si="29"/>
        <v>_</v>
      </c>
      <c r="T353" s="152" t="str">
        <f>+VLOOKUP($L353,Data_Validation!$A:$D,1,0)</f>
        <v>654C</v>
      </c>
      <c r="U353" s="152" t="str">
        <f>+VLOOKUP($L353,Data_Validation!$A:$D,3,0)</f>
        <v>Véhicules usagés</v>
      </c>
      <c r="V353" s="152" t="str">
        <f>+VLOOKUP($L353,Data_Validation!$A:$D,4,0)</f>
        <v>Rev. Autres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3006</v>
      </c>
      <c r="B354" s="662" t="s">
        <v>2849</v>
      </c>
      <c r="C354" s="663">
        <v>2472.25</v>
      </c>
      <c r="D354" s="663">
        <v>0</v>
      </c>
      <c r="E354" s="663">
        <v>2472.25</v>
      </c>
      <c r="F354" s="662" t="s">
        <v>2014</v>
      </c>
      <c r="G354" s="662" t="s">
        <v>1012</v>
      </c>
      <c r="H354" s="657" t="s">
        <v>2997</v>
      </c>
      <c r="I354" s="656"/>
      <c r="J354" s="656"/>
      <c r="K354" s="656"/>
      <c r="L354" s="149" t="str">
        <f t="shared" si="25"/>
        <v>654T</v>
      </c>
      <c r="M354" s="150" t="str">
        <f t="shared" si="26"/>
        <v>C/V - TRAITEMENT PROTECTION USAGE BMW NON-CER</v>
      </c>
      <c r="N354" s="151">
        <f>+IF(OR($Q354=Parametres!$G$2,$Q354=Parametres!$G$3),I354,C354)</f>
        <v>2472.25</v>
      </c>
      <c r="O354" s="151">
        <f>+IF(OR($Q354=Parametres!$G$2,$Q354=Parametres!$G$3),J354,D354)</f>
        <v>0</v>
      </c>
      <c r="P354" s="151">
        <f>+IF(OR($Q354=Parametres!$G$2,$Q354=Parametres!$G$3),K354,E354)</f>
        <v>2472.25</v>
      </c>
      <c r="Q354" s="150" t="str">
        <f t="shared" si="27"/>
        <v>6-Coût des ventes</v>
      </c>
      <c r="R354" s="149" t="str">
        <f t="shared" si="28"/>
        <v>450</v>
      </c>
      <c r="S354" s="150" t="str">
        <f t="shared" si="29"/>
        <v>_</v>
      </c>
      <c r="T354" s="152" t="str">
        <f>+VLOOKUP($L354,Data_Validation!$A:$D,1,0)</f>
        <v>654T</v>
      </c>
      <c r="U354" s="152" t="str">
        <f>+VLOOKUP($L354,Data_Validation!$A:$D,3,0)</f>
        <v>Véhicules usagés</v>
      </c>
      <c r="V354" s="152" t="str">
        <f>+VLOOKUP($L354,Data_Validation!$A:$D,4,0)</f>
        <v>Rev. Autres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1687</v>
      </c>
      <c r="B355" s="708" t="s">
        <v>1032</v>
      </c>
      <c r="C355" s="710">
        <v>2909.45</v>
      </c>
      <c r="D355" s="710">
        <v>0</v>
      </c>
      <c r="E355" s="710">
        <v>2909.45</v>
      </c>
      <c r="F355" s="708" t="s">
        <v>2014</v>
      </c>
      <c r="G355" s="708" t="s">
        <v>1012</v>
      </c>
      <c r="H355" s="657" t="s">
        <v>2997</v>
      </c>
      <c r="I355" s="656"/>
      <c r="J355" s="656"/>
      <c r="K355" s="656"/>
      <c r="L355" s="149" t="str">
        <f t="shared" si="25"/>
        <v>650E</v>
      </c>
      <c r="M355" s="150" t="str">
        <f t="shared" si="26"/>
        <v>C/V - PROTEC ESTHETIQUE USAGE BMW CERT</v>
      </c>
      <c r="N355" s="151">
        <f>+IF(OR($Q355=Parametres!$G$2,$Q355=Parametres!$G$3),I355,C355)</f>
        <v>2909.45</v>
      </c>
      <c r="O355" s="151">
        <f>+IF(OR($Q355=Parametres!$G$2,$Q355=Parametres!$G$3),J355,D355)</f>
        <v>0</v>
      </c>
      <c r="P355" s="151">
        <f>+IF(OR($Q355=Parametres!$G$2,$Q355=Parametres!$G$3),K355,E355)</f>
        <v>2909.45</v>
      </c>
      <c r="Q355" s="150" t="str">
        <f t="shared" si="27"/>
        <v>6-Coût des ventes</v>
      </c>
      <c r="R355" s="149" t="str">
        <f t="shared" si="28"/>
        <v>450</v>
      </c>
      <c r="S355" s="150" t="str">
        <f t="shared" si="29"/>
        <v>_</v>
      </c>
      <c r="T355" s="152" t="str">
        <f>+VLOOKUP($L355,Data_Validation!$A:$D,1,0)</f>
        <v>650E</v>
      </c>
      <c r="U355" s="152" t="str">
        <f>+VLOOKUP($L355,Data_Validation!$A:$D,3,0)</f>
        <v>Véhicules usagés</v>
      </c>
      <c r="V355" s="152" t="str">
        <f>+VLOOKUP($L355,Data_Validation!$A:$D,4,0)</f>
        <v>Rev. Protections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1614</v>
      </c>
      <c r="B356" s="708" t="s">
        <v>785</v>
      </c>
      <c r="C356" s="710">
        <v>2986.54</v>
      </c>
      <c r="D356" s="710">
        <v>855.88</v>
      </c>
      <c r="E356" s="710">
        <v>3842.42</v>
      </c>
      <c r="F356" s="708" t="s">
        <v>2014</v>
      </c>
      <c r="G356" s="708" t="s">
        <v>434</v>
      </c>
      <c r="H356" s="664" t="s">
        <v>2997</v>
      </c>
      <c r="I356" s="663"/>
      <c r="J356" s="663"/>
      <c r="K356" s="663"/>
      <c r="L356" s="149" t="str">
        <f t="shared" si="25"/>
        <v>672G</v>
      </c>
      <c r="M356" s="150" t="str">
        <f t="shared" si="26"/>
        <v>C/V - PIECES ENTRETIEN BMW I</v>
      </c>
      <c r="N356" s="151">
        <f>+IF(OR($Q356=Parametres!$G$2,$Q356=Parametres!$G$3),I356,C356)</f>
        <v>2986.54</v>
      </c>
      <c r="O356" s="151">
        <f>+IF(OR($Q356=Parametres!$G$2,$Q356=Parametres!$G$3),J356,D356)</f>
        <v>855.88</v>
      </c>
      <c r="P356" s="151">
        <f>+IF(OR($Q356=Parametres!$G$2,$Q356=Parametres!$G$3),K356,E356)</f>
        <v>3842.42</v>
      </c>
      <c r="Q356" s="150" t="str">
        <f t="shared" si="27"/>
        <v>6-Coût des ventes</v>
      </c>
      <c r="R356" s="149" t="str">
        <f t="shared" si="28"/>
        <v>472D</v>
      </c>
      <c r="S356" s="150" t="str">
        <f t="shared" si="29"/>
        <v>_</v>
      </c>
      <c r="T356" s="152" t="str">
        <f>+VLOOKUP($L356,Data_Validation!$A:$D,1,0)</f>
        <v>672G</v>
      </c>
      <c r="U356" s="152" t="str">
        <f>+VLOOKUP($L356,Data_Validation!$A:$D,3,0)</f>
        <v>pièces</v>
      </c>
      <c r="V356" s="152" t="str">
        <f>+VLOOKUP($L356,Data_Validation!$A:$D,4,0)</f>
        <v>P/A Garantie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1446</v>
      </c>
      <c r="B357" s="708" t="s">
        <v>1447</v>
      </c>
      <c r="C357" s="709">
        <v>3301</v>
      </c>
      <c r="D357" s="709">
        <v>284</v>
      </c>
      <c r="E357" s="709">
        <v>3585</v>
      </c>
      <c r="F357" s="708" t="s">
        <v>2014</v>
      </c>
      <c r="G357" s="708" t="s">
        <v>374</v>
      </c>
      <c r="H357" s="709" t="s">
        <v>2997</v>
      </c>
      <c r="I357" s="710"/>
      <c r="J357" s="710"/>
      <c r="K357" s="710"/>
      <c r="L357" s="149" t="str">
        <f t="shared" si="25"/>
        <v>651</v>
      </c>
      <c r="M357" s="150" t="str">
        <f t="shared" si="26"/>
        <v>C/V - MARQUAGE OTOPROTEC USAGE AUTRE</v>
      </c>
      <c r="N357" s="151">
        <f>+IF(OR($Q357=Parametres!$G$2,$Q357=Parametres!$G$3),I357,C357)</f>
        <v>3301</v>
      </c>
      <c r="O357" s="151">
        <f>+IF(OR($Q357=Parametres!$G$2,$Q357=Parametres!$G$3),J357,D357)</f>
        <v>284</v>
      </c>
      <c r="P357" s="151">
        <f>+IF(OR($Q357=Parametres!$G$2,$Q357=Parametres!$G$3),K357,E357)</f>
        <v>3585</v>
      </c>
      <c r="Q357" s="150" t="str">
        <f t="shared" si="27"/>
        <v>6-Coût des ventes</v>
      </c>
      <c r="R357" s="149" t="str">
        <f t="shared" si="28"/>
        <v>451</v>
      </c>
      <c r="S357" s="150" t="str">
        <f t="shared" si="29"/>
        <v>_</v>
      </c>
      <c r="T357" s="152" t="str">
        <f>+VLOOKUP($L357,Data_Validation!$A:$D,1,0)</f>
        <v>651</v>
      </c>
      <c r="U357" s="152" t="str">
        <f>+VLOOKUP($L357,Data_Validation!$A:$D,3,0)</f>
        <v>Véhicules usagés</v>
      </c>
      <c r="V357" s="152" t="str">
        <f>+VLOOKUP($L357,Data_Validation!$A:$D,4,0)</f>
        <v>Rev.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3007</v>
      </c>
      <c r="B358" s="662" t="s">
        <v>1228</v>
      </c>
      <c r="C358" s="663">
        <v>3801</v>
      </c>
      <c r="D358" s="663">
        <v>0</v>
      </c>
      <c r="E358" s="663">
        <v>3801</v>
      </c>
      <c r="F358" s="662" t="s">
        <v>2014</v>
      </c>
      <c r="G358" s="662" t="s">
        <v>1012</v>
      </c>
      <c r="H358" s="657" t="s">
        <v>2997</v>
      </c>
      <c r="I358" s="656"/>
      <c r="J358" s="656"/>
      <c r="K358" s="656"/>
      <c r="L358" s="149" t="str">
        <f t="shared" si="25"/>
        <v>650T</v>
      </c>
      <c r="M358" s="150" t="str">
        <f t="shared" si="26"/>
        <v>C/V - TRAITEMENT PROTECTION USAGE BMW CERT</v>
      </c>
      <c r="N358" s="151">
        <f>+IF(OR($Q358=Parametres!$G$2,$Q358=Parametres!$G$3),I358,C358)</f>
        <v>3801</v>
      </c>
      <c r="O358" s="151">
        <f>+IF(OR($Q358=Parametres!$G$2,$Q358=Parametres!$G$3),J358,D358)</f>
        <v>0</v>
      </c>
      <c r="P358" s="151">
        <f>+IF(OR($Q358=Parametres!$G$2,$Q358=Parametres!$G$3),K358,E358)</f>
        <v>3801</v>
      </c>
      <c r="Q358" s="150" t="str">
        <f t="shared" si="27"/>
        <v>6-Coût des ventes</v>
      </c>
      <c r="R358" s="149" t="str">
        <f t="shared" si="28"/>
        <v>450</v>
      </c>
      <c r="S358" s="150" t="str">
        <f t="shared" si="29"/>
        <v>_</v>
      </c>
      <c r="T358" s="152" t="str">
        <f>+VLOOKUP($L358,Data_Validation!$A:$D,1,0)</f>
        <v>650T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2085</v>
      </c>
      <c r="B359" s="708" t="s">
        <v>2086</v>
      </c>
      <c r="C359" s="710">
        <v>3821.19</v>
      </c>
      <c r="D359" s="710">
        <v>0</v>
      </c>
      <c r="E359" s="710">
        <v>3821.19</v>
      </c>
      <c r="F359" s="708" t="s">
        <v>2014</v>
      </c>
      <c r="G359" s="708" t="s">
        <v>2082</v>
      </c>
      <c r="H359" s="664" t="s">
        <v>2997</v>
      </c>
      <c r="I359" s="663"/>
      <c r="J359" s="663"/>
      <c r="K359" s="663"/>
      <c r="L359" s="149" t="str">
        <f t="shared" si="25"/>
        <v>671A</v>
      </c>
      <c r="M359" s="150" t="str">
        <f t="shared" si="26"/>
        <v>C/V - PIECES BT CARROSS. BMW AUTO</v>
      </c>
      <c r="N359" s="151">
        <f>+IF(OR($Q359=Parametres!$G$2,$Q359=Parametres!$G$3),I359,C359)</f>
        <v>3821.19</v>
      </c>
      <c r="O359" s="151">
        <f>+IF(OR($Q359=Parametres!$G$2,$Q359=Parametres!$G$3),J359,D359)</f>
        <v>0</v>
      </c>
      <c r="P359" s="151">
        <f>+IF(OR($Q359=Parametres!$G$2,$Q359=Parametres!$G$3),K359,E359)</f>
        <v>3821.19</v>
      </c>
      <c r="Q359" s="150" t="str">
        <f t="shared" si="27"/>
        <v>6-Coût des ventes</v>
      </c>
      <c r="R359" s="149" t="str">
        <f t="shared" si="28"/>
        <v>471A</v>
      </c>
      <c r="S359" s="150" t="str">
        <f t="shared" si="29"/>
        <v>_</v>
      </c>
      <c r="T359" s="152" t="str">
        <f>+VLOOKUP($L359,Data_Validation!$A:$D,1,0)</f>
        <v>671A</v>
      </c>
      <c r="U359" s="152" t="str">
        <f>+VLOOKUP($L359,Data_Validation!$A:$D,3,0)</f>
        <v>Pièces</v>
      </c>
      <c r="V359" s="152" t="str">
        <f>+VLOOKUP($L359,Data_Validation!$A:$D,4,0)</f>
        <v>Pièces Ro Carrosserie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1955</v>
      </c>
      <c r="B360" s="708" t="s">
        <v>1956</v>
      </c>
      <c r="C360" s="709">
        <v>4501.63</v>
      </c>
      <c r="D360" s="709">
        <v>426</v>
      </c>
      <c r="E360" s="709">
        <v>4927.63</v>
      </c>
      <c r="F360" s="708" t="s">
        <v>2014</v>
      </c>
      <c r="G360" s="708" t="s">
        <v>1012</v>
      </c>
      <c r="H360" s="709" t="s">
        <v>2997</v>
      </c>
      <c r="I360" s="710"/>
      <c r="J360" s="710"/>
      <c r="K360" s="710"/>
      <c r="L360" s="149" t="str">
        <f t="shared" si="25"/>
        <v>654M</v>
      </c>
      <c r="M360" s="150" t="str">
        <f t="shared" si="26"/>
        <v>C/V - MARQUAGE OTOPROTEC USAGE BMW NON-CERT</v>
      </c>
      <c r="N360" s="151">
        <f>+IF(OR($Q360=Parametres!$G$2,$Q360=Parametres!$G$3),I360,C360)</f>
        <v>4501.63</v>
      </c>
      <c r="O360" s="151">
        <f>+IF(OR($Q360=Parametres!$G$2,$Q360=Parametres!$G$3),J360,D360)</f>
        <v>426</v>
      </c>
      <c r="P360" s="151">
        <f>+IF(OR($Q360=Parametres!$G$2,$Q360=Parametres!$G$3),K360,E360)</f>
        <v>4927.63</v>
      </c>
      <c r="Q360" s="150" t="str">
        <f t="shared" si="27"/>
        <v>6-Coût des ventes</v>
      </c>
      <c r="R360" s="149" t="str">
        <f t="shared" si="28"/>
        <v>450</v>
      </c>
      <c r="S360" s="150" t="str">
        <f t="shared" si="29"/>
        <v>_</v>
      </c>
      <c r="T360" s="152" t="str">
        <f>+VLOOKUP($L360,Data_Validation!$A:$D,1,0)</f>
        <v>654M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2970</v>
      </c>
      <c r="B361" s="708" t="s">
        <v>2971</v>
      </c>
      <c r="C361" s="710">
        <v>4619.1099999999997</v>
      </c>
      <c r="D361" s="710">
        <v>0</v>
      </c>
      <c r="E361" s="710">
        <v>4619.1099999999997</v>
      </c>
      <c r="F361" s="708" t="s">
        <v>2014</v>
      </c>
      <c r="G361" s="708" t="s">
        <v>1012</v>
      </c>
      <c r="H361" s="664" t="s">
        <v>2997</v>
      </c>
      <c r="I361" s="663"/>
      <c r="J361" s="663"/>
      <c r="K361" s="663"/>
      <c r="L361" s="149" t="str">
        <f t="shared" si="25"/>
        <v>654V</v>
      </c>
      <c r="M361" s="150" t="str">
        <f t="shared" si="26"/>
        <v>C/V - ASS VIE/INV USAGE BMW NON-CERT</v>
      </c>
      <c r="N361" s="151">
        <f>+IF(OR($Q361=Parametres!$G$2,$Q361=Parametres!$G$3),I361,C361)</f>
        <v>4619.1099999999997</v>
      </c>
      <c r="O361" s="151">
        <f>+IF(OR($Q361=Parametres!$G$2,$Q361=Parametres!$G$3),J361,D361)</f>
        <v>0</v>
      </c>
      <c r="P361" s="151">
        <f>+IF(OR($Q361=Parametres!$G$2,$Q361=Parametres!$G$3),K361,E361)</f>
        <v>4619.1099999999997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654V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1234</v>
      </c>
      <c r="B362" s="708" t="s">
        <v>383</v>
      </c>
      <c r="C362" s="709">
        <v>4637.87</v>
      </c>
      <c r="D362" s="709">
        <v>0</v>
      </c>
      <c r="E362" s="709">
        <v>4637.87</v>
      </c>
      <c r="F362" s="708" t="s">
        <v>2014</v>
      </c>
      <c r="G362" s="708" t="s">
        <v>365</v>
      </c>
      <c r="H362" s="709" t="s">
        <v>2997</v>
      </c>
      <c r="I362" s="710"/>
      <c r="J362" s="710"/>
      <c r="K362" s="710"/>
      <c r="L362" s="149" t="str">
        <f t="shared" si="25"/>
        <v>693</v>
      </c>
      <c r="M362" s="150" t="str">
        <f t="shared" si="26"/>
        <v>C/V - M/O CARROSSERIE BMW</v>
      </c>
      <c r="N362" s="151">
        <f>+IF(OR($Q362=Parametres!$G$2,$Q362=Parametres!$G$3),I362,C362)</f>
        <v>4637.87</v>
      </c>
      <c r="O362" s="151">
        <f>+IF(OR($Q362=Parametres!$G$2,$Q362=Parametres!$G$3),J362,D362)</f>
        <v>0</v>
      </c>
      <c r="P362" s="151">
        <f>+IF(OR($Q362=Parametres!$G$2,$Q362=Parametres!$G$3),K362,E362)</f>
        <v>4637.87</v>
      </c>
      <c r="Q362" s="150" t="str">
        <f t="shared" si="27"/>
        <v>6-Coût des ventes</v>
      </c>
      <c r="R362" s="149" t="str">
        <f t="shared" si="28"/>
        <v>493</v>
      </c>
      <c r="S362" s="150" t="str">
        <f t="shared" si="29"/>
        <v>_</v>
      </c>
      <c r="T362" s="152" t="str">
        <f>+VLOOKUP($L362,Data_Validation!$A:$D,1,0)</f>
        <v>693</v>
      </c>
      <c r="U362" s="152" t="str">
        <f>+VLOOKUP($L362,Data_Validation!$A:$D,3,0)</f>
        <v>carrosserie</v>
      </c>
      <c r="V362" s="152" t="str">
        <f>+VLOOKUP($L362,Data_Validation!$A:$D,4,0)</f>
        <v>M/O Sous-traitement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1646</v>
      </c>
      <c r="B363" s="662" t="s">
        <v>1647</v>
      </c>
      <c r="C363" s="663">
        <v>4899</v>
      </c>
      <c r="D363" s="663">
        <v>213</v>
      </c>
      <c r="E363" s="663">
        <v>5112</v>
      </c>
      <c r="F363" s="662" t="s">
        <v>2014</v>
      </c>
      <c r="G363" s="662" t="s">
        <v>1012</v>
      </c>
      <c r="H363" s="657" t="s">
        <v>2997</v>
      </c>
      <c r="I363" s="656"/>
      <c r="J363" s="656"/>
      <c r="K363" s="656"/>
      <c r="L363" s="149" t="str">
        <f t="shared" si="25"/>
        <v>650</v>
      </c>
      <c r="M363" s="150" t="str">
        <f t="shared" si="26"/>
        <v>C/V - MARQUAGE OTOPROTEC USAGE BMW CERT</v>
      </c>
      <c r="N363" s="151">
        <f>+IF(OR($Q363=Parametres!$G$2,$Q363=Parametres!$G$3),I363,C363)</f>
        <v>4899</v>
      </c>
      <c r="O363" s="151">
        <f>+IF(OR($Q363=Parametres!$G$2,$Q363=Parametres!$G$3),J363,D363)</f>
        <v>213</v>
      </c>
      <c r="P363" s="151">
        <f>+IF(OR($Q363=Parametres!$G$2,$Q363=Parametres!$G$3),K363,E363)</f>
        <v>5112</v>
      </c>
      <c r="Q363" s="150" t="str">
        <f t="shared" si="27"/>
        <v>6-Coût des ventes</v>
      </c>
      <c r="R363" s="149" t="str">
        <f t="shared" si="28"/>
        <v>450</v>
      </c>
      <c r="S363" s="150" t="str">
        <f t="shared" si="29"/>
        <v>_</v>
      </c>
      <c r="T363" s="152" t="str">
        <f>+VLOOKUP($L363,Data_Validation!$A:$D,1,0)</f>
        <v>650</v>
      </c>
      <c r="U363" s="152" t="str">
        <f>+VLOOKUP($L363,Data_Validation!$A:$D,3,0)</f>
        <v>Véhicules usagés</v>
      </c>
      <c r="V363" s="152" t="str">
        <f>+VLOOKUP($L363,Data_Validation!$A:$D,4,0)</f>
        <v>Rev. Autres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2206</v>
      </c>
      <c r="B364" s="708" t="s">
        <v>2207</v>
      </c>
      <c r="C364" s="710">
        <v>4949.8599999999997</v>
      </c>
      <c r="D364" s="710">
        <v>0</v>
      </c>
      <c r="E364" s="710">
        <v>4949.8599999999997</v>
      </c>
      <c r="F364" s="708" t="s">
        <v>2014</v>
      </c>
      <c r="G364" s="708" t="s">
        <v>374</v>
      </c>
      <c r="H364" s="664" t="s">
        <v>2997</v>
      </c>
      <c r="I364" s="663"/>
      <c r="J364" s="663"/>
      <c r="K364" s="663"/>
      <c r="L364" s="149" t="str">
        <f t="shared" si="25"/>
        <v>651V</v>
      </c>
      <c r="M364" s="150" t="str">
        <f t="shared" si="26"/>
        <v>C/V - ASS VIE/INV USAGE AUTRE</v>
      </c>
      <c r="N364" s="151">
        <f>+IF(OR($Q364=Parametres!$G$2,$Q364=Parametres!$G$3),I364,C364)</f>
        <v>4949.8599999999997</v>
      </c>
      <c r="O364" s="151">
        <f>+IF(OR($Q364=Parametres!$G$2,$Q364=Parametres!$G$3),J364,D364)</f>
        <v>0</v>
      </c>
      <c r="P364" s="151">
        <f>+IF(OR($Q364=Parametres!$G$2,$Q364=Parametres!$G$3),K364,E364)</f>
        <v>4949.8599999999997</v>
      </c>
      <c r="Q364" s="150" t="str">
        <f t="shared" si="27"/>
        <v>6-Coût des ventes</v>
      </c>
      <c r="R364" s="149" t="str">
        <f t="shared" si="28"/>
        <v>451</v>
      </c>
      <c r="S364" s="150" t="str">
        <f t="shared" si="29"/>
        <v>_</v>
      </c>
      <c r="T364" s="152" t="str">
        <f>+VLOOKUP($L364,Data_Validation!$A:$D,1,0)</f>
        <v>651V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2177</v>
      </c>
      <c r="B365" s="708" t="s">
        <v>2178</v>
      </c>
      <c r="C365" s="710">
        <v>6508</v>
      </c>
      <c r="D365" s="710">
        <v>933.4</v>
      </c>
      <c r="E365" s="710">
        <v>7441.4</v>
      </c>
      <c r="F365" s="708" t="s">
        <v>2014</v>
      </c>
      <c r="G365" s="708" t="s">
        <v>1139</v>
      </c>
      <c r="H365" s="664" t="s">
        <v>2997</v>
      </c>
      <c r="I365" s="663"/>
      <c r="J365" s="663"/>
      <c r="K365" s="663"/>
      <c r="L365" s="149" t="str">
        <f t="shared" si="25"/>
        <v>662L</v>
      </c>
      <c r="M365" s="150" t="str">
        <f t="shared" si="26"/>
        <v>C/V - SUBLET INTERNE AUTO</v>
      </c>
      <c r="N365" s="151">
        <f>+IF(OR($Q365=Parametres!$G$2,$Q365=Parametres!$G$3),I365,C365)</f>
        <v>6508</v>
      </c>
      <c r="O365" s="151">
        <f>+IF(OR($Q365=Parametres!$G$2,$Q365=Parametres!$G$3),J365,D365)</f>
        <v>933.4</v>
      </c>
      <c r="P365" s="151">
        <f>+IF(OR($Q365=Parametres!$G$2,$Q365=Parametres!$G$3),K365,E365)</f>
        <v>7441.4</v>
      </c>
      <c r="Q365" s="150" t="str">
        <f t="shared" si="27"/>
        <v>6-Coût des ventes</v>
      </c>
      <c r="R365" s="149" t="str">
        <f t="shared" si="28"/>
        <v>462A</v>
      </c>
      <c r="S365" s="150" t="str">
        <f t="shared" si="29"/>
        <v>_</v>
      </c>
      <c r="T365" s="152" t="str">
        <f>+VLOOKUP($L365,Data_Validation!$A:$D,1,0)</f>
        <v>662L</v>
      </c>
      <c r="U365" s="152" t="str">
        <f>+VLOOKUP($L365,Data_Validation!$A:$D,3,0)</f>
        <v>Service</v>
      </c>
      <c r="V365" s="152" t="str">
        <f>+VLOOKUP($L365,Data_Validation!$A:$D,4,0)</f>
        <v>M/O Interne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1452</v>
      </c>
      <c r="B366" s="708" t="s">
        <v>673</v>
      </c>
      <c r="C366" s="710">
        <v>6710</v>
      </c>
      <c r="D366" s="710">
        <v>1905</v>
      </c>
      <c r="E366" s="710">
        <v>8615</v>
      </c>
      <c r="F366" s="708" t="s">
        <v>2014</v>
      </c>
      <c r="G366" s="708" t="s">
        <v>366</v>
      </c>
      <c r="H366" s="664" t="s">
        <v>2997</v>
      </c>
      <c r="I366" s="663"/>
      <c r="J366" s="663"/>
      <c r="K366" s="663"/>
      <c r="L366" s="149" t="str">
        <f t="shared" si="25"/>
        <v>655</v>
      </c>
      <c r="M366" s="150" t="str">
        <f t="shared" si="26"/>
        <v>C/V - GAR PROL USAGE AUTRE</v>
      </c>
      <c r="N366" s="151">
        <f>+IF(OR($Q366=Parametres!$G$2,$Q366=Parametres!$G$3),I366,C366)</f>
        <v>6710</v>
      </c>
      <c r="O366" s="151">
        <f>+IF(OR($Q366=Parametres!$G$2,$Q366=Parametres!$G$3),J366,D366)</f>
        <v>1905</v>
      </c>
      <c r="P366" s="151">
        <f>+IF(OR($Q366=Parametres!$G$2,$Q366=Parametres!$G$3),K366,E366)</f>
        <v>8615</v>
      </c>
      <c r="Q366" s="150" t="str">
        <f t="shared" si="27"/>
        <v>6-Coût des ventes</v>
      </c>
      <c r="R366" s="149" t="str">
        <f t="shared" si="28"/>
        <v>455</v>
      </c>
      <c r="S366" s="150" t="str">
        <f t="shared" si="29"/>
        <v>_</v>
      </c>
      <c r="T366" s="152" t="str">
        <f>+VLOOKUP($L366,Data_Validation!$A:$D,1,0)</f>
        <v>655</v>
      </c>
      <c r="U366" s="152" t="str">
        <f>+VLOOKUP($L366,Data_Validation!$A:$D,3,0)</f>
        <v>Véhicules usagés</v>
      </c>
      <c r="V366" s="152" t="str">
        <f>+VLOOKUP($L366,Data_Validation!$A:$D,4,0)</f>
        <v>Rev. Protections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1699</v>
      </c>
      <c r="B367" s="662" t="s">
        <v>874</v>
      </c>
      <c r="C367" s="663">
        <v>6856.14</v>
      </c>
      <c r="D367" s="663">
        <v>710.34</v>
      </c>
      <c r="E367" s="663">
        <v>7566.48</v>
      </c>
      <c r="F367" s="662" t="s">
        <v>2014</v>
      </c>
      <c r="G367" s="662" t="s">
        <v>1118</v>
      </c>
      <c r="H367" s="657" t="s">
        <v>2997</v>
      </c>
      <c r="I367" s="656"/>
      <c r="J367" s="656"/>
      <c r="K367" s="656"/>
      <c r="L367" s="149" t="str">
        <f t="shared" si="25"/>
        <v>674D</v>
      </c>
      <c r="M367" s="150" t="str">
        <f t="shared" si="26"/>
        <v>C/V - PIECES COMP. BMW LIFESTYLE</v>
      </c>
      <c r="N367" s="151">
        <f>+IF(OR($Q367=Parametres!$G$2,$Q367=Parametres!$G$3),I367,C367)</f>
        <v>6856.14</v>
      </c>
      <c r="O367" s="151">
        <f>+IF(OR($Q367=Parametres!$G$2,$Q367=Parametres!$G$3),J367,D367)</f>
        <v>710.34</v>
      </c>
      <c r="P367" s="151">
        <f>+IF(OR($Q367=Parametres!$G$2,$Q367=Parametres!$G$3),K367,E367)</f>
        <v>7566.48</v>
      </c>
      <c r="Q367" s="150" t="str">
        <f t="shared" si="27"/>
        <v>6-Coût des ventes</v>
      </c>
      <c r="R367" s="149" t="str">
        <f t="shared" si="28"/>
        <v>474A</v>
      </c>
      <c r="S367" s="150" t="str">
        <f t="shared" si="29"/>
        <v>_</v>
      </c>
      <c r="T367" s="152" t="str">
        <f>+VLOOKUP($L367,Data_Validation!$A:$D,1,0)</f>
        <v>674D</v>
      </c>
      <c r="U367" s="152" t="str">
        <f>+VLOOKUP($L367,Data_Validation!$A:$D,3,0)</f>
        <v>pièces</v>
      </c>
      <c r="V367" s="152" t="str">
        <f>+VLOOKUP($L367,Data_Validation!$A:$D,4,0)</f>
        <v>Ventes Détails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674</v>
      </c>
      <c r="B368" s="708" t="s">
        <v>675</v>
      </c>
      <c r="C368" s="710">
        <v>7053.67</v>
      </c>
      <c r="D368" s="710">
        <v>500</v>
      </c>
      <c r="E368" s="710">
        <v>7553.67</v>
      </c>
      <c r="F368" s="708" t="s">
        <v>2014</v>
      </c>
      <c r="G368" s="708" t="s">
        <v>1143</v>
      </c>
      <c r="H368" s="664" t="s">
        <v>2997</v>
      </c>
      <c r="I368" s="663"/>
      <c r="J368" s="663"/>
      <c r="K368" s="663"/>
      <c r="L368" s="149" t="str">
        <f t="shared" si="25"/>
        <v>663D</v>
      </c>
      <c r="M368" s="150" t="str">
        <f t="shared" si="26"/>
        <v>C/V - SOUS-TRAITANCE BMW I</v>
      </c>
      <c r="N368" s="151">
        <f>+IF(OR($Q368=Parametres!$G$2,$Q368=Parametres!$G$3),I368,C368)</f>
        <v>7053.67</v>
      </c>
      <c r="O368" s="151">
        <f>+IF(OR($Q368=Parametres!$G$2,$Q368=Parametres!$G$3),J368,D368)</f>
        <v>500</v>
      </c>
      <c r="P368" s="151">
        <f>+IF(OR($Q368=Parametres!$G$2,$Q368=Parametres!$G$3),K368,E368)</f>
        <v>7553.67</v>
      </c>
      <c r="Q368" s="150" t="str">
        <f t="shared" si="27"/>
        <v>6-Coût des ventes</v>
      </c>
      <c r="R368" s="149" t="str">
        <f t="shared" si="28"/>
        <v>463A</v>
      </c>
      <c r="S368" s="150" t="str">
        <f t="shared" si="29"/>
        <v>_</v>
      </c>
      <c r="T368" s="152" t="str">
        <f>+VLOOKUP($L368,Data_Validation!$A:$D,1,0)</f>
        <v>663D</v>
      </c>
      <c r="U368" s="152" t="str">
        <f>+VLOOKUP($L368,Data_Validation!$A:$D,3,0)</f>
        <v>service</v>
      </c>
      <c r="V368" s="152" t="str">
        <f>+VLOOKUP($L368,Data_Validation!$A:$D,4,0)</f>
        <v>Sous-traitement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2179</v>
      </c>
      <c r="B369" s="662" t="s">
        <v>2180</v>
      </c>
      <c r="C369" s="663">
        <v>7170</v>
      </c>
      <c r="D369" s="663">
        <v>895</v>
      </c>
      <c r="E369" s="663">
        <v>8065</v>
      </c>
      <c r="F369" s="662" t="s">
        <v>2014</v>
      </c>
      <c r="G369" s="662" t="s">
        <v>1139</v>
      </c>
      <c r="H369" s="657" t="s">
        <v>2997</v>
      </c>
      <c r="I369" s="656"/>
      <c r="J369" s="656"/>
      <c r="K369" s="656"/>
      <c r="L369" s="149" t="str">
        <f t="shared" si="25"/>
        <v>662M</v>
      </c>
      <c r="M369" s="150" t="str">
        <f t="shared" si="26"/>
        <v>C/V - SUBLET INTERNE CAMION</v>
      </c>
      <c r="N369" s="151">
        <f>+IF(OR($Q369=Parametres!$G$2,$Q369=Parametres!$G$3),I369,C369)</f>
        <v>7170</v>
      </c>
      <c r="O369" s="151">
        <f>+IF(OR($Q369=Parametres!$G$2,$Q369=Parametres!$G$3),J369,D369)</f>
        <v>895</v>
      </c>
      <c r="P369" s="151">
        <f>+IF(OR($Q369=Parametres!$G$2,$Q369=Parametres!$G$3),K369,E369)</f>
        <v>8065</v>
      </c>
      <c r="Q369" s="150" t="str">
        <f t="shared" si="27"/>
        <v>6-Coût des ventes</v>
      </c>
      <c r="R369" s="149" t="str">
        <f t="shared" si="28"/>
        <v>462A</v>
      </c>
      <c r="S369" s="150" t="str">
        <f t="shared" si="29"/>
        <v>_</v>
      </c>
      <c r="T369" s="152" t="str">
        <f>+VLOOKUP($L369,Data_Validation!$A:$D,1,0)</f>
        <v>662M</v>
      </c>
      <c r="U369" s="152" t="str">
        <f>+VLOOKUP($L369,Data_Validation!$A:$D,3,0)</f>
        <v>Service</v>
      </c>
      <c r="V369" s="152" t="str">
        <f>+VLOOKUP($L369,Data_Validation!$A:$D,4,0)</f>
        <v>M/O Interne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2916</v>
      </c>
      <c r="B370" s="708" t="s">
        <v>2917</v>
      </c>
      <c r="C370" s="710">
        <v>8130.29</v>
      </c>
      <c r="D370" s="710">
        <v>0</v>
      </c>
      <c r="E370" s="710">
        <v>8130.29</v>
      </c>
      <c r="F370" s="708" t="s">
        <v>2014</v>
      </c>
      <c r="G370" s="708" t="s">
        <v>374</v>
      </c>
      <c r="H370" s="664" t="s">
        <v>2997</v>
      </c>
      <c r="I370" s="663"/>
      <c r="J370" s="663"/>
      <c r="K370" s="663"/>
      <c r="L370" s="149" t="str">
        <f t="shared" si="25"/>
        <v>651R</v>
      </c>
      <c r="M370" s="150" t="str">
        <f t="shared" si="26"/>
        <v>C/V - ASS. REMP. USAGE AUTRE</v>
      </c>
      <c r="N370" s="151">
        <f>+IF(OR($Q370=Parametres!$G$2,$Q370=Parametres!$G$3),I370,C370)</f>
        <v>8130.29</v>
      </c>
      <c r="O370" s="151">
        <f>+IF(OR($Q370=Parametres!$G$2,$Q370=Parametres!$G$3),J370,D370)</f>
        <v>0</v>
      </c>
      <c r="P370" s="151">
        <f>+IF(OR($Q370=Parametres!$G$2,$Q370=Parametres!$G$3),K370,E370)</f>
        <v>8130.29</v>
      </c>
      <c r="Q370" s="150" t="str">
        <f t="shared" si="27"/>
        <v>6-Coût des ventes</v>
      </c>
      <c r="R370" s="149" t="str">
        <f t="shared" si="28"/>
        <v>451</v>
      </c>
      <c r="S370" s="150" t="str">
        <f t="shared" si="29"/>
        <v>_</v>
      </c>
      <c r="T370" s="152" t="str">
        <f>+VLOOKUP($L370,Data_Validation!$A:$D,1,0)</f>
        <v>651R</v>
      </c>
      <c r="U370" s="152" t="str">
        <f>+VLOOKUP($L370,Data_Validation!$A:$D,3,0)</f>
        <v>Véhicules usagés</v>
      </c>
      <c r="V370" s="152" t="str">
        <f>+VLOOKUP($L370,Data_Validation!$A:$D,4,0)</f>
        <v>Rev. Protections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1433</v>
      </c>
      <c r="B371" s="708" t="s">
        <v>1064</v>
      </c>
      <c r="C371" s="710">
        <v>8175</v>
      </c>
      <c r="D371" s="710">
        <v>0</v>
      </c>
      <c r="E371" s="710">
        <v>8175</v>
      </c>
      <c r="F371" s="708" t="s">
        <v>2014</v>
      </c>
      <c r="G371" s="708" t="s">
        <v>625</v>
      </c>
      <c r="H371" s="664" t="s">
        <v>2997</v>
      </c>
      <c r="I371" s="663"/>
      <c r="J371" s="663"/>
      <c r="K371" s="663"/>
      <c r="L371" s="149" t="str">
        <f t="shared" si="25"/>
        <v>630P</v>
      </c>
      <c r="M371" s="150" t="str">
        <f t="shared" si="26"/>
        <v>C/V - PROTEC PNEUS/JANTES NEUF BMW AUTO</v>
      </c>
      <c r="N371" s="151">
        <f>+IF(OR($Q371=Parametres!$G$2,$Q371=Parametres!$G$3),I371,C371)</f>
        <v>8175</v>
      </c>
      <c r="O371" s="151">
        <f>+IF(OR($Q371=Parametres!$G$2,$Q371=Parametres!$G$3),J371,D371)</f>
        <v>0</v>
      </c>
      <c r="P371" s="151">
        <f>+IF(OR($Q371=Parametres!$G$2,$Q371=Parametres!$G$3),K371,E371)</f>
        <v>8175</v>
      </c>
      <c r="Q371" s="150" t="str">
        <f t="shared" si="27"/>
        <v>6-Coût des ventes</v>
      </c>
      <c r="R371" s="149" t="str">
        <f t="shared" si="28"/>
        <v>430</v>
      </c>
      <c r="S371" s="150" t="str">
        <f t="shared" si="29"/>
        <v>_</v>
      </c>
      <c r="T371" s="152" t="str">
        <f>+VLOOKUP($L371,Data_Validation!$A:$D,1,0)</f>
        <v>630P</v>
      </c>
      <c r="U371" s="152" t="str">
        <f>+VLOOKUP($L371,Data_Validation!$A:$D,3,0)</f>
        <v>Véhicules neufs</v>
      </c>
      <c r="V371" s="152" t="str">
        <f>+VLOOKUP($L371,Data_Validation!$A:$D,4,0)</f>
        <v>Rev. Protections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2191</v>
      </c>
      <c r="B372" s="708" t="s">
        <v>2192</v>
      </c>
      <c r="C372" s="710">
        <v>8220.0400000000009</v>
      </c>
      <c r="D372" s="710">
        <v>1039</v>
      </c>
      <c r="E372" s="710">
        <v>9259.0400000000009</v>
      </c>
      <c r="F372" s="708" t="s">
        <v>2014</v>
      </c>
      <c r="G372" s="708" t="s">
        <v>450</v>
      </c>
      <c r="H372" s="664" t="s">
        <v>2997</v>
      </c>
      <c r="I372" s="664"/>
      <c r="J372" s="664"/>
      <c r="K372" s="664"/>
      <c r="L372" s="149" t="str">
        <f t="shared" si="25"/>
        <v>659B</v>
      </c>
      <c r="M372" s="150" t="str">
        <f t="shared" si="26"/>
        <v>C/V - SUBLET ESTHETIQUE</v>
      </c>
      <c r="N372" s="151">
        <f>+IF(OR($Q372=Parametres!$G$2,$Q372=Parametres!$G$3),I372,C372)</f>
        <v>8220.0400000000009</v>
      </c>
      <c r="O372" s="151">
        <f>+IF(OR($Q372=Parametres!$G$2,$Q372=Parametres!$G$3),J372,D372)</f>
        <v>1039</v>
      </c>
      <c r="P372" s="151">
        <f>+IF(OR($Q372=Parametres!$G$2,$Q372=Parametres!$G$3),K372,E372)</f>
        <v>9259.0400000000009</v>
      </c>
      <c r="Q372" s="150" t="str">
        <f t="shared" si="27"/>
        <v>6-Coût des ventes</v>
      </c>
      <c r="R372" s="149" t="str">
        <f t="shared" si="28"/>
        <v>459A</v>
      </c>
      <c r="S372" s="150" t="str">
        <f t="shared" si="29"/>
        <v>_</v>
      </c>
      <c r="T372" s="152" t="str">
        <f>+VLOOKUP($L372,Data_Validation!$A:$D,1,0)</f>
        <v>659B</v>
      </c>
      <c r="U372" s="152" t="str">
        <f>+VLOOKUP($L372,Data_Validation!$A:$D,3,0)</f>
        <v>Service</v>
      </c>
      <c r="V372" s="152" t="str">
        <f>+VLOOKUP($L372,Data_Validation!$A:$D,4,0)</f>
        <v>M/O Esthétique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1606</v>
      </c>
      <c r="B373" s="662" t="s">
        <v>880</v>
      </c>
      <c r="C373" s="663">
        <v>8365.07</v>
      </c>
      <c r="D373" s="663">
        <v>2363.19</v>
      </c>
      <c r="E373" s="663">
        <v>10728.26</v>
      </c>
      <c r="F373" s="662" t="s">
        <v>2014</v>
      </c>
      <c r="G373" s="662" t="s">
        <v>1120</v>
      </c>
      <c r="H373" s="657" t="s">
        <v>2997</v>
      </c>
      <c r="I373" s="656"/>
      <c r="J373" s="656"/>
      <c r="K373" s="656"/>
      <c r="L373" s="149" t="str">
        <f t="shared" si="25"/>
        <v>670D</v>
      </c>
      <c r="M373" s="150" t="str">
        <f t="shared" si="26"/>
        <v>C/V - PIECES BT CLIENT BMW I</v>
      </c>
      <c r="N373" s="151">
        <f>+IF(OR($Q373=Parametres!$G$2,$Q373=Parametres!$G$3),I373,C373)</f>
        <v>8365.07</v>
      </c>
      <c r="O373" s="151">
        <f>+IF(OR($Q373=Parametres!$G$2,$Q373=Parametres!$G$3),J373,D373)</f>
        <v>2363.19</v>
      </c>
      <c r="P373" s="151">
        <f>+IF(OR($Q373=Parametres!$G$2,$Q373=Parametres!$G$3),K373,E373)</f>
        <v>10728.26</v>
      </c>
      <c r="Q373" s="150" t="str">
        <f t="shared" si="27"/>
        <v>6-Coût des ventes</v>
      </c>
      <c r="R373" s="149" t="str">
        <f t="shared" si="28"/>
        <v>470A</v>
      </c>
      <c r="S373" s="150" t="str">
        <f t="shared" si="29"/>
        <v>_</v>
      </c>
      <c r="T373" s="152" t="str">
        <f>+VLOOKUP($L373,Data_Validation!$A:$D,1,0)</f>
        <v>670D</v>
      </c>
      <c r="U373" s="152" t="str">
        <f>+VLOOKUP($L373,Data_Validation!$A:$D,3,0)</f>
        <v>Pièces</v>
      </c>
      <c r="V373" s="152" t="str">
        <f>+VLOOKUP($L373,Data_Validation!$A:$D,4,0)</f>
        <v>Pièces Ro Clients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2402</v>
      </c>
      <c r="B374" s="708" t="s">
        <v>2403</v>
      </c>
      <c r="C374" s="709">
        <v>8938.4500000000007</v>
      </c>
      <c r="D374" s="709">
        <v>0</v>
      </c>
      <c r="E374" s="709">
        <v>8938.4500000000007</v>
      </c>
      <c r="F374" s="708" t="s">
        <v>2014</v>
      </c>
      <c r="G374" s="708" t="s">
        <v>1012</v>
      </c>
      <c r="H374" s="709" t="s">
        <v>2997</v>
      </c>
      <c r="I374" s="710"/>
      <c r="J374" s="710"/>
      <c r="K374" s="710"/>
      <c r="L374" s="149" t="str">
        <f t="shared" si="25"/>
        <v>654R</v>
      </c>
      <c r="M374" s="150" t="str">
        <f t="shared" si="26"/>
        <v>C/V - ASS. REMP. USAGE BMW NON-CERT</v>
      </c>
      <c r="N374" s="151">
        <f>+IF(OR($Q374=Parametres!$G$2,$Q374=Parametres!$G$3),I374,C374)</f>
        <v>8938.4500000000007</v>
      </c>
      <c r="O374" s="151">
        <f>+IF(OR($Q374=Parametres!$G$2,$Q374=Parametres!$G$3),J374,D374)</f>
        <v>0</v>
      </c>
      <c r="P374" s="151">
        <f>+IF(OR($Q374=Parametres!$G$2,$Q374=Parametres!$G$3),K374,E374)</f>
        <v>8938.4500000000007</v>
      </c>
      <c r="Q374" s="150" t="str">
        <f t="shared" si="27"/>
        <v>6-Coût des ventes</v>
      </c>
      <c r="R374" s="149" t="str">
        <f t="shared" si="28"/>
        <v>450</v>
      </c>
      <c r="S374" s="150" t="str">
        <f t="shared" si="29"/>
        <v>_</v>
      </c>
      <c r="T374" s="152" t="str">
        <f>+VLOOKUP($L374,Data_Validation!$A:$D,1,0)</f>
        <v>654R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1683</v>
      </c>
      <c r="B375" s="708" t="s">
        <v>886</v>
      </c>
      <c r="C375" s="710">
        <v>9209.57</v>
      </c>
      <c r="D375" s="710">
        <v>499.79</v>
      </c>
      <c r="E375" s="710">
        <v>9709.36</v>
      </c>
      <c r="F375" s="708" t="s">
        <v>2014</v>
      </c>
      <c r="G375" s="708" t="s">
        <v>441</v>
      </c>
      <c r="H375" s="657" t="s">
        <v>2997</v>
      </c>
      <c r="I375" s="656"/>
      <c r="J375" s="656"/>
      <c r="K375" s="656"/>
      <c r="L375" s="149" t="str">
        <f t="shared" si="25"/>
        <v>661D</v>
      </c>
      <c r="M375" s="150" t="str">
        <f t="shared" si="26"/>
        <v>C/V - M/O ENTRETIEN BMW AUTO</v>
      </c>
      <c r="N375" s="151">
        <f>+IF(OR($Q375=Parametres!$G$2,$Q375=Parametres!$G$3),I375,C375)</f>
        <v>9209.57</v>
      </c>
      <c r="O375" s="151">
        <f>+IF(OR($Q375=Parametres!$G$2,$Q375=Parametres!$G$3),J375,D375)</f>
        <v>499.79</v>
      </c>
      <c r="P375" s="151">
        <f>+IF(OR($Q375=Parametres!$G$2,$Q375=Parametres!$G$3),K375,E375)</f>
        <v>9709.36</v>
      </c>
      <c r="Q375" s="150" t="str">
        <f t="shared" si="27"/>
        <v>6-Coût des ventes</v>
      </c>
      <c r="R375" s="149" t="str">
        <f t="shared" si="28"/>
        <v>461D</v>
      </c>
      <c r="S375" s="150" t="str">
        <f t="shared" si="29"/>
        <v>_</v>
      </c>
      <c r="T375" s="152" t="str">
        <f>+VLOOKUP($L375,Data_Validation!$A:$D,1,0)</f>
        <v>661D</v>
      </c>
      <c r="U375" s="152" t="str">
        <f>+VLOOKUP($L375,Data_Validation!$A:$D,3,0)</f>
        <v>service</v>
      </c>
      <c r="V375" s="152" t="str">
        <f>+VLOOKUP($L375,Data_Validation!$A:$D,4,0)</f>
        <v>M/O Garantie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1635</v>
      </c>
      <c r="B376" s="662" t="s">
        <v>1636</v>
      </c>
      <c r="C376" s="663">
        <v>9258.18</v>
      </c>
      <c r="D376" s="663">
        <v>1322.5</v>
      </c>
      <c r="E376" s="663">
        <v>10580.68</v>
      </c>
      <c r="F376" s="662" t="s">
        <v>2014</v>
      </c>
      <c r="G376" s="662" t="s">
        <v>2253</v>
      </c>
      <c r="H376" s="657" t="s">
        <v>2997</v>
      </c>
      <c r="I376" s="656"/>
      <c r="J376" s="656"/>
      <c r="K376" s="656"/>
      <c r="L376" s="149" t="str">
        <f t="shared" si="25"/>
        <v>664B</v>
      </c>
      <c r="M376" s="150" t="str">
        <f t="shared" si="26"/>
        <v>C/V - AJUST. M/O BMW CAMION</v>
      </c>
      <c r="N376" s="151">
        <f>+IF(OR($Q376=Parametres!$G$2,$Q376=Parametres!$G$3),I376,C376)</f>
        <v>9258.18</v>
      </c>
      <c r="O376" s="151">
        <f>+IF(OR($Q376=Parametres!$G$2,$Q376=Parametres!$G$3),J376,D376)</f>
        <v>1322.5</v>
      </c>
      <c r="P376" s="151">
        <f>+IF(OR($Q376=Parametres!$G$2,$Q376=Parametres!$G$3),K376,E376)</f>
        <v>10580.68</v>
      </c>
      <c r="Q376" s="150" t="str">
        <f t="shared" si="27"/>
        <v>6-Coût des ventes</v>
      </c>
      <c r="R376" s="149" t="str">
        <f t="shared" si="28"/>
        <v>464</v>
      </c>
      <c r="S376" s="150" t="str">
        <f t="shared" si="29"/>
        <v>_</v>
      </c>
      <c r="T376" s="152" t="str">
        <f>+VLOOKUP($L376,Data_Validation!$A:$D,1,0)</f>
        <v>664B</v>
      </c>
      <c r="U376" s="152" t="str">
        <f>+VLOOKUP($L376,Data_Validation!$A:$D,3,0)</f>
        <v>service</v>
      </c>
      <c r="V376" s="152" t="str">
        <f>+VLOOKUP($L376,Data_Validation!$A:$D,4,0)</f>
        <v>Ajustement M/O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1057</v>
      </c>
      <c r="B377" s="708" t="s">
        <v>780</v>
      </c>
      <c r="C377" s="710">
        <v>9376.52</v>
      </c>
      <c r="D377" s="710">
        <v>1751.03</v>
      </c>
      <c r="E377" s="710">
        <v>11127.55</v>
      </c>
      <c r="F377" s="708" t="s">
        <v>2014</v>
      </c>
      <c r="G377" s="708" t="s">
        <v>1139</v>
      </c>
      <c r="H377" s="664" t="s">
        <v>2997</v>
      </c>
      <c r="I377" s="663"/>
      <c r="J377" s="663"/>
      <c r="K377" s="663"/>
      <c r="L377" s="149" t="str">
        <f t="shared" si="25"/>
        <v>662D</v>
      </c>
      <c r="M377" s="150" t="str">
        <f t="shared" si="26"/>
        <v>C/V - M/O INTERNE BMW I</v>
      </c>
      <c r="N377" s="151">
        <f>+IF(OR($Q377=Parametres!$G$2,$Q377=Parametres!$G$3),I377,C377)</f>
        <v>9376.52</v>
      </c>
      <c r="O377" s="151">
        <f>+IF(OR($Q377=Parametres!$G$2,$Q377=Parametres!$G$3),J377,D377)</f>
        <v>1751.03</v>
      </c>
      <c r="P377" s="151">
        <f>+IF(OR($Q377=Parametres!$G$2,$Q377=Parametres!$G$3),K377,E377)</f>
        <v>11127.55</v>
      </c>
      <c r="Q377" s="150" t="str">
        <f t="shared" si="27"/>
        <v>6-Coût des ventes</v>
      </c>
      <c r="R377" s="149" t="str">
        <f t="shared" si="28"/>
        <v>462A</v>
      </c>
      <c r="S377" s="150" t="str">
        <f t="shared" si="29"/>
        <v>_</v>
      </c>
      <c r="T377" s="152" t="str">
        <f>+VLOOKUP($L377,Data_Validation!$A:$D,1,0)</f>
        <v>662D</v>
      </c>
      <c r="U377" s="152" t="str">
        <f>+VLOOKUP($L377,Data_Validation!$A:$D,3,0)</f>
        <v>service</v>
      </c>
      <c r="V377" s="152" t="str">
        <f>+VLOOKUP($L377,Data_Validation!$A:$D,4,0)</f>
        <v>M/O Interne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1058</v>
      </c>
      <c r="B378" s="708" t="s">
        <v>837</v>
      </c>
      <c r="C378" s="710">
        <v>9611.6200000000008</v>
      </c>
      <c r="D378" s="710">
        <v>2482.4299999999998</v>
      </c>
      <c r="E378" s="710">
        <v>12094.05</v>
      </c>
      <c r="F378" s="708" t="s">
        <v>2014</v>
      </c>
      <c r="G378" s="708" t="s">
        <v>1116</v>
      </c>
      <c r="H378" s="602" t="s">
        <v>2997</v>
      </c>
      <c r="I378" s="601"/>
      <c r="J378" s="601"/>
      <c r="K378" s="601"/>
      <c r="L378" s="149" t="str">
        <f t="shared" si="25"/>
        <v>660D</v>
      </c>
      <c r="M378" s="150" t="str">
        <f t="shared" si="26"/>
        <v>C/V - M/O CLIENT BMW I</v>
      </c>
      <c r="N378" s="151">
        <f>+IF(OR($Q378=Parametres!$G$2,$Q378=Parametres!$G$3),I378,C378)</f>
        <v>9611.6200000000008</v>
      </c>
      <c r="O378" s="151">
        <f>+IF(OR($Q378=Parametres!$G$2,$Q378=Parametres!$G$3),J378,D378)</f>
        <v>2482.4299999999998</v>
      </c>
      <c r="P378" s="151">
        <f>+IF(OR($Q378=Parametres!$G$2,$Q378=Parametres!$G$3),K378,E378)</f>
        <v>12094.05</v>
      </c>
      <c r="Q378" s="150" t="str">
        <f t="shared" si="27"/>
        <v>6-Coût des ventes</v>
      </c>
      <c r="R378" s="149" t="str">
        <f t="shared" si="28"/>
        <v>460A</v>
      </c>
      <c r="S378" s="150" t="str">
        <f t="shared" si="29"/>
        <v>_</v>
      </c>
      <c r="T378" s="152" t="str">
        <f>+VLOOKUP($L378,Data_Validation!$A:$D,1,0)</f>
        <v>660D</v>
      </c>
      <c r="U378" s="152" t="str">
        <f>+VLOOKUP($L378,Data_Validation!$A:$D,3,0)</f>
        <v>service</v>
      </c>
      <c r="V378" s="152" t="str">
        <f>+VLOOKUP($L378,Data_Validation!$A:$D,4,0)</f>
        <v>M/O Client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677</v>
      </c>
      <c r="B379" s="708" t="s">
        <v>678</v>
      </c>
      <c r="C379" s="709">
        <v>10011.549999999999</v>
      </c>
      <c r="D379" s="709">
        <v>1265.8599999999999</v>
      </c>
      <c r="E379" s="709">
        <v>11277.41</v>
      </c>
      <c r="F379" s="708" t="s">
        <v>2014</v>
      </c>
      <c r="G379" s="708" t="s">
        <v>1132</v>
      </c>
      <c r="H379" s="709" t="s">
        <v>2997</v>
      </c>
      <c r="I379" s="710"/>
      <c r="J379" s="710"/>
      <c r="K379" s="710"/>
      <c r="L379" s="149" t="str">
        <f t="shared" si="25"/>
        <v>673D</v>
      </c>
      <c r="M379" s="150" t="str">
        <f t="shared" si="26"/>
        <v>C/V - PIECES INTERNE BMW I</v>
      </c>
      <c r="N379" s="151">
        <f>+IF(OR($Q379=Parametres!$G$2,$Q379=Parametres!$G$3),I379,C379)</f>
        <v>10011.549999999999</v>
      </c>
      <c r="O379" s="151">
        <f>+IF(OR($Q379=Parametres!$G$2,$Q379=Parametres!$G$3),J379,D379)</f>
        <v>1265.8599999999999</v>
      </c>
      <c r="P379" s="151">
        <f>+IF(OR($Q379=Parametres!$G$2,$Q379=Parametres!$G$3),K379,E379)</f>
        <v>11277.41</v>
      </c>
      <c r="Q379" s="150" t="str">
        <f t="shared" si="27"/>
        <v>6-Coût des ventes</v>
      </c>
      <c r="R379" s="149" t="str">
        <f t="shared" si="28"/>
        <v>473A</v>
      </c>
      <c r="S379" s="150" t="str">
        <f t="shared" si="29"/>
        <v>_</v>
      </c>
      <c r="T379" s="152" t="str">
        <f>+VLOOKUP($L379,Data_Validation!$A:$D,1,0)</f>
        <v>673D</v>
      </c>
      <c r="U379" s="152" t="str">
        <f>+VLOOKUP($L379,Data_Validation!$A:$D,3,0)</f>
        <v>pièces</v>
      </c>
      <c r="V379" s="152" t="str">
        <f>+VLOOKUP($L379,Data_Validation!$A:$D,4,0)</f>
        <v>Ventes Internes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1727</v>
      </c>
      <c r="B380" s="708" t="s">
        <v>1728</v>
      </c>
      <c r="C380" s="710">
        <v>11242.77</v>
      </c>
      <c r="D380" s="710">
        <v>0</v>
      </c>
      <c r="E380" s="710">
        <v>11242.77</v>
      </c>
      <c r="F380" s="708" t="s">
        <v>2014</v>
      </c>
      <c r="G380" s="708" t="s">
        <v>625</v>
      </c>
      <c r="H380" s="664" t="s">
        <v>2997</v>
      </c>
      <c r="I380" s="663"/>
      <c r="J380" s="663"/>
      <c r="K380" s="663"/>
      <c r="L380" s="149" t="str">
        <f t="shared" si="25"/>
        <v>630V</v>
      </c>
      <c r="M380" s="150" t="str">
        <f t="shared" si="26"/>
        <v>C/V - ASS VIE/INV NEUF BMW AUTO</v>
      </c>
      <c r="N380" s="151">
        <f>+IF(OR($Q380=Parametres!$G$2,$Q380=Parametres!$G$3),I380,C380)</f>
        <v>11242.77</v>
      </c>
      <c r="O380" s="151">
        <f>+IF(OR($Q380=Parametres!$G$2,$Q380=Parametres!$G$3),J380,D380)</f>
        <v>0</v>
      </c>
      <c r="P380" s="151">
        <f>+IF(OR($Q380=Parametres!$G$2,$Q380=Parametres!$G$3),K380,E380)</f>
        <v>11242.77</v>
      </c>
      <c r="Q380" s="150" t="str">
        <f t="shared" si="27"/>
        <v>6-Coût des ventes</v>
      </c>
      <c r="R380" s="149" t="str">
        <f t="shared" si="28"/>
        <v>430</v>
      </c>
      <c r="S380" s="150" t="str">
        <f t="shared" si="29"/>
        <v>_</v>
      </c>
      <c r="T380" s="152" t="str">
        <f>+VLOOKUP($L380,Data_Validation!$A:$D,1,0)</f>
        <v>630V</v>
      </c>
      <c r="U380" s="152" t="str">
        <f>+VLOOKUP($L380,Data_Validation!$A:$D,3,0)</f>
        <v>Véhicules neufs</v>
      </c>
      <c r="V380" s="152" t="str">
        <f>+VLOOKUP($L380,Data_Validation!$A:$D,4,0)</f>
        <v>Rev.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1775</v>
      </c>
      <c r="B381" s="708" t="s">
        <v>898</v>
      </c>
      <c r="C381" s="710">
        <v>13644.94</v>
      </c>
      <c r="D381" s="710">
        <v>3402.01</v>
      </c>
      <c r="E381" s="710">
        <v>17046.95</v>
      </c>
      <c r="F381" s="708" t="s">
        <v>2014</v>
      </c>
      <c r="G381" s="708" t="s">
        <v>1143</v>
      </c>
      <c r="H381" s="657" t="s">
        <v>2997</v>
      </c>
      <c r="I381" s="656"/>
      <c r="J381" s="656"/>
      <c r="K381" s="656"/>
      <c r="L381" s="149" t="str">
        <f t="shared" si="25"/>
        <v>663B</v>
      </c>
      <c r="M381" s="150" t="str">
        <f t="shared" si="26"/>
        <v>C/V - SOUS-TRAITANCE BMW CAMION</v>
      </c>
      <c r="N381" s="151">
        <f>+IF(OR($Q381=Parametres!$G$2,$Q381=Parametres!$G$3),I381,C381)</f>
        <v>13644.94</v>
      </c>
      <c r="O381" s="151">
        <f>+IF(OR($Q381=Parametres!$G$2,$Q381=Parametres!$G$3),J381,D381)</f>
        <v>3402.01</v>
      </c>
      <c r="P381" s="151">
        <f>+IF(OR($Q381=Parametres!$G$2,$Q381=Parametres!$G$3),K381,E381)</f>
        <v>17046.95</v>
      </c>
      <c r="Q381" s="150" t="str">
        <f t="shared" si="27"/>
        <v>6-Coût des ventes</v>
      </c>
      <c r="R381" s="149" t="str">
        <f t="shared" si="28"/>
        <v>463A</v>
      </c>
      <c r="S381" s="150" t="str">
        <f t="shared" si="29"/>
        <v>_</v>
      </c>
      <c r="T381" s="152" t="str">
        <f>+VLOOKUP($L381,Data_Validation!$A:$D,1,0)</f>
        <v>663B</v>
      </c>
      <c r="U381" s="152" t="str">
        <f>+VLOOKUP($L381,Data_Validation!$A:$D,3,0)</f>
        <v>service</v>
      </c>
      <c r="V381" s="152" t="str">
        <f>+VLOOKUP($L381,Data_Validation!$A:$D,4,0)</f>
        <v>Sous-traitement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1652</v>
      </c>
      <c r="B382" s="708" t="s">
        <v>1653</v>
      </c>
      <c r="C382" s="709">
        <v>13887.27</v>
      </c>
      <c r="D382" s="709">
        <v>1983.75</v>
      </c>
      <c r="E382" s="709">
        <v>15871.02</v>
      </c>
      <c r="F382" s="708" t="s">
        <v>2014</v>
      </c>
      <c r="G382" s="708" t="s">
        <v>2253</v>
      </c>
      <c r="H382" s="709" t="s">
        <v>2997</v>
      </c>
      <c r="I382" s="710"/>
      <c r="J382" s="710"/>
      <c r="K382" s="710"/>
      <c r="L382" s="149" t="str">
        <f t="shared" si="25"/>
        <v>664A</v>
      </c>
      <c r="M382" s="150" t="str">
        <f t="shared" si="26"/>
        <v>C/V - AJUST. M/O BMW AUTO</v>
      </c>
      <c r="N382" s="151">
        <f>+IF(OR($Q382=Parametres!$G$2,$Q382=Parametres!$G$3),I382,C382)</f>
        <v>13887.27</v>
      </c>
      <c r="O382" s="151">
        <f>+IF(OR($Q382=Parametres!$G$2,$Q382=Parametres!$G$3),J382,D382)</f>
        <v>1983.75</v>
      </c>
      <c r="P382" s="151">
        <f>+IF(OR($Q382=Parametres!$G$2,$Q382=Parametres!$G$3),K382,E382)</f>
        <v>15871.02</v>
      </c>
      <c r="Q382" s="150" t="str">
        <f t="shared" si="27"/>
        <v>6-Coût des ventes</v>
      </c>
      <c r="R382" s="149" t="str">
        <f t="shared" si="28"/>
        <v>464</v>
      </c>
      <c r="S382" s="150" t="str">
        <f t="shared" si="29"/>
        <v>_</v>
      </c>
      <c r="T382" s="152" t="str">
        <f>+VLOOKUP($L382,Data_Validation!$A:$D,1,0)</f>
        <v>664A</v>
      </c>
      <c r="U382" s="152" t="str">
        <f>+VLOOKUP($L382,Data_Validation!$A:$D,3,0)</f>
        <v>service</v>
      </c>
      <c r="V382" s="152" t="str">
        <f>+VLOOKUP($L382,Data_Validation!$A:$D,4,0)</f>
        <v>Ajustement M/O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1033</v>
      </c>
      <c r="B383" s="708" t="s">
        <v>777</v>
      </c>
      <c r="C383" s="709">
        <v>13944.3</v>
      </c>
      <c r="D383" s="709">
        <v>1494.34</v>
      </c>
      <c r="E383" s="709">
        <v>15438.64</v>
      </c>
      <c r="F383" s="708" t="s">
        <v>2014</v>
      </c>
      <c r="G383" s="708" t="s">
        <v>1110</v>
      </c>
      <c r="H383" s="709" t="s">
        <v>2997</v>
      </c>
      <c r="I383" s="710"/>
      <c r="J383" s="710"/>
      <c r="K383" s="710"/>
      <c r="L383" s="149" t="str">
        <f t="shared" si="25"/>
        <v>661H</v>
      </c>
      <c r="M383" s="150" t="str">
        <f t="shared" si="26"/>
        <v>C/V - M/O GARANTIE BMW I</v>
      </c>
      <c r="N383" s="151">
        <f>+IF(OR($Q383=Parametres!$G$2,$Q383=Parametres!$G$3),I383,C383)</f>
        <v>13944.3</v>
      </c>
      <c r="O383" s="151">
        <f>+IF(OR($Q383=Parametres!$G$2,$Q383=Parametres!$G$3),J383,D383)</f>
        <v>1494.34</v>
      </c>
      <c r="P383" s="151">
        <f>+IF(OR($Q383=Parametres!$G$2,$Q383=Parametres!$G$3),K383,E383)</f>
        <v>15438.64</v>
      </c>
      <c r="Q383" s="150" t="str">
        <f t="shared" si="27"/>
        <v>6-Coût des ventes</v>
      </c>
      <c r="R383" s="149" t="str">
        <f t="shared" si="28"/>
        <v>461A</v>
      </c>
      <c r="S383" s="150" t="str">
        <f t="shared" si="29"/>
        <v>_</v>
      </c>
      <c r="T383" s="152" t="str">
        <f>+VLOOKUP($L383,Data_Validation!$A:$D,1,0)</f>
        <v>661H</v>
      </c>
      <c r="U383" s="152" t="str">
        <f>+VLOOKUP($L383,Data_Validation!$A:$D,3,0)</f>
        <v>service</v>
      </c>
      <c r="V383" s="152" t="str">
        <f>+VLOOKUP($L383,Data_Validation!$A:$D,4,0)</f>
        <v>M/O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2019</v>
      </c>
      <c r="B384" s="708" t="s">
        <v>2020</v>
      </c>
      <c r="C384" s="710">
        <v>15366.61</v>
      </c>
      <c r="D384" s="710">
        <v>0</v>
      </c>
      <c r="E384" s="710">
        <v>15366.61</v>
      </c>
      <c r="F384" s="708" t="s">
        <v>2014</v>
      </c>
      <c r="G384" s="708" t="s">
        <v>1012</v>
      </c>
      <c r="H384" s="600" t="s">
        <v>2997</v>
      </c>
      <c r="I384" s="153"/>
      <c r="J384" s="153"/>
      <c r="K384" s="153"/>
      <c r="L384" s="149" t="str">
        <f t="shared" si="25"/>
        <v>650R</v>
      </c>
      <c r="M384" s="150" t="str">
        <f t="shared" si="26"/>
        <v>C/V - ASS. REMP. USAGE BMW CERT</v>
      </c>
      <c r="N384" s="151">
        <f>+IF(OR($Q384=Parametres!$G$2,$Q384=Parametres!$G$3),I384,C384)</f>
        <v>15366.61</v>
      </c>
      <c r="O384" s="151">
        <f>+IF(OR($Q384=Parametres!$G$2,$Q384=Parametres!$G$3),J384,D384)</f>
        <v>0</v>
      </c>
      <c r="P384" s="151">
        <f>+IF(OR($Q384=Parametres!$G$2,$Q384=Parametres!$G$3),K384,E384)</f>
        <v>15366.61</v>
      </c>
      <c r="Q384" s="150" t="str">
        <f t="shared" si="27"/>
        <v>6-Coût des ventes</v>
      </c>
      <c r="R384" s="149" t="str">
        <f t="shared" si="28"/>
        <v>450</v>
      </c>
      <c r="S384" s="150" t="str">
        <f t="shared" si="29"/>
        <v>_</v>
      </c>
      <c r="T384" s="152" t="str">
        <f>+VLOOKUP($L384,Data_Validation!$A:$D,1,0)</f>
        <v>650R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1444</v>
      </c>
      <c r="B385" s="662" t="s">
        <v>1445</v>
      </c>
      <c r="C385" s="663">
        <v>16109.71</v>
      </c>
      <c r="D385" s="663">
        <v>0</v>
      </c>
      <c r="E385" s="663">
        <v>16109.71</v>
      </c>
      <c r="F385" s="662" t="s">
        <v>2014</v>
      </c>
      <c r="G385" s="662" t="s">
        <v>1012</v>
      </c>
      <c r="H385" s="657" t="s">
        <v>2997</v>
      </c>
      <c r="I385" s="656"/>
      <c r="J385" s="656"/>
      <c r="K385" s="656"/>
      <c r="L385" s="149" t="str">
        <f t="shared" si="25"/>
        <v>650V</v>
      </c>
      <c r="M385" s="150" t="str">
        <f t="shared" si="26"/>
        <v>C/V - ASS VIE/INV USAGE BMW CERT</v>
      </c>
      <c r="N385" s="151">
        <f>+IF(OR($Q385=Parametres!$G$2,$Q385=Parametres!$G$3),I385,C385)</f>
        <v>16109.71</v>
      </c>
      <c r="O385" s="151">
        <f>+IF(OR($Q385=Parametres!$G$2,$Q385=Parametres!$G$3),J385,D385)</f>
        <v>0</v>
      </c>
      <c r="P385" s="151">
        <f>+IF(OR($Q385=Parametres!$G$2,$Q385=Parametres!$G$3),K385,E385)</f>
        <v>16109.71</v>
      </c>
      <c r="Q385" s="150" t="str">
        <f t="shared" si="27"/>
        <v>6-Coût des ventes</v>
      </c>
      <c r="R385" s="149" t="str">
        <f t="shared" si="28"/>
        <v>450</v>
      </c>
      <c r="S385" s="150" t="str">
        <f t="shared" si="29"/>
        <v>_</v>
      </c>
      <c r="T385" s="152" t="str">
        <f>+VLOOKUP($L385,Data_Validation!$A:$D,1,0)</f>
        <v>650V</v>
      </c>
      <c r="U385" s="152" t="str">
        <f>+VLOOKUP($L385,Data_Validation!$A:$D,3,0)</f>
        <v>Véhicules usagés</v>
      </c>
      <c r="V385" s="152" t="str">
        <f>+VLOOKUP($L385,Data_Validation!$A:$D,4,0)</f>
        <v>Rev. Autres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2370</v>
      </c>
      <c r="B386" s="708" t="s">
        <v>2371</v>
      </c>
      <c r="C386" s="710">
        <v>16118</v>
      </c>
      <c r="D386" s="710">
        <v>525</v>
      </c>
      <c r="E386" s="710">
        <v>16643</v>
      </c>
      <c r="F386" s="708" t="s">
        <v>2014</v>
      </c>
      <c r="G386" s="708" t="s">
        <v>2360</v>
      </c>
      <c r="H386" s="657" t="s">
        <v>2997</v>
      </c>
      <c r="I386" s="656"/>
      <c r="J386" s="656"/>
      <c r="K386" s="656"/>
      <c r="L386" s="149" t="str">
        <f t="shared" ref="L386:L449" si="30">+B386</f>
        <v>654</v>
      </c>
      <c r="M386" s="150" t="str">
        <f t="shared" ref="M386:M449" si="31">+A386</f>
        <v>C/V - CONT ENTRET USAGE BMW CERT</v>
      </c>
      <c r="N386" s="151">
        <f>+IF(OR($Q386=Parametres!$G$2,$Q386=Parametres!$G$3),I386,C386)</f>
        <v>16118</v>
      </c>
      <c r="O386" s="497">
        <f>+IF(OR($Q386=Parametres!$G$2,$Q386=Parametres!$G$3),J386,D386)</f>
        <v>525</v>
      </c>
      <c r="P386" s="151">
        <f>+IF(OR($Q386=Parametres!$G$2,$Q386=Parametres!$G$3),K386,E386)</f>
        <v>16643</v>
      </c>
      <c r="Q386" s="150" t="str">
        <f t="shared" ref="Q386:Q449" si="32">+F386</f>
        <v>6-Coût des ventes</v>
      </c>
      <c r="R386" s="149" t="str">
        <f t="shared" ref="R386:R449" si="33">+G386</f>
        <v>454</v>
      </c>
      <c r="S386" s="150" t="str">
        <f t="shared" ref="S386:S449" si="34">+H386</f>
        <v>_</v>
      </c>
      <c r="T386" s="152" t="str">
        <f>+VLOOKUP($L386,Data_Validation!$A:$D,1,0)</f>
        <v>654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1713</v>
      </c>
      <c r="B387" s="708" t="s">
        <v>905</v>
      </c>
      <c r="C387" s="710">
        <v>16997.599999999999</v>
      </c>
      <c r="D387" s="710">
        <v>2094.9699999999998</v>
      </c>
      <c r="E387" s="710">
        <v>19092.57</v>
      </c>
      <c r="F387" s="708" t="s">
        <v>2014</v>
      </c>
      <c r="G387" s="708" t="s">
        <v>441</v>
      </c>
      <c r="H387" s="664" t="s">
        <v>2997</v>
      </c>
      <c r="I387" s="663"/>
      <c r="J387" s="663"/>
      <c r="K387" s="663"/>
      <c r="L387" s="149" t="str">
        <f t="shared" si="30"/>
        <v>661E</v>
      </c>
      <c r="M387" s="150" t="str">
        <f t="shared" si="31"/>
        <v>C/V - M/O ENTRETIEN BMW CAMION</v>
      </c>
      <c r="N387" s="151">
        <f>+IF(OR($Q387=Parametres!$G$2,$Q387=Parametres!$G$3),I387,C387)</f>
        <v>16997.599999999999</v>
      </c>
      <c r="O387" s="151">
        <f>+IF(OR($Q387=Parametres!$G$2,$Q387=Parametres!$G$3),J387,D387)</f>
        <v>2094.9699999999998</v>
      </c>
      <c r="P387" s="151">
        <f>+IF(OR($Q387=Parametres!$G$2,$Q387=Parametres!$G$3),K387,E387)</f>
        <v>19092.57</v>
      </c>
      <c r="Q387" s="150" t="str">
        <f t="shared" si="32"/>
        <v>6-Coût des ventes</v>
      </c>
      <c r="R387" s="149" t="str">
        <f t="shared" si="33"/>
        <v>461D</v>
      </c>
      <c r="S387" s="150" t="str">
        <f t="shared" si="34"/>
        <v>_</v>
      </c>
      <c r="T387" s="152" t="str">
        <f>+VLOOKUP($L387,Data_Validation!$A:$D,1,0)</f>
        <v>661E</v>
      </c>
      <c r="U387" s="152" t="str">
        <f>+VLOOKUP($L387,Data_Validation!$A:$D,3,0)</f>
        <v>service</v>
      </c>
      <c r="V387" s="152" t="str">
        <f>+VLOOKUP($L387,Data_Validation!$A:$D,4,0)</f>
        <v>M/O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3008</v>
      </c>
      <c r="B388" s="708" t="s">
        <v>1643</v>
      </c>
      <c r="C388" s="710">
        <v>17723.810000000001</v>
      </c>
      <c r="D388" s="710">
        <v>0</v>
      </c>
      <c r="E388" s="710">
        <v>17723.810000000001</v>
      </c>
      <c r="F388" s="708" t="s">
        <v>2014</v>
      </c>
      <c r="G388" s="708" t="s">
        <v>625</v>
      </c>
      <c r="H388" s="664" t="s">
        <v>2997</v>
      </c>
      <c r="I388" s="663"/>
      <c r="J388" s="663"/>
      <c r="K388" s="663"/>
      <c r="L388" s="149" t="str">
        <f t="shared" si="30"/>
        <v>630T</v>
      </c>
      <c r="M388" s="150" t="str">
        <f t="shared" si="31"/>
        <v>C/V - TRAITEMENT PROTECTION NEUF BMW AUTO</v>
      </c>
      <c r="N388" s="151">
        <f>+IF(OR($Q388=Parametres!$G$2,$Q388=Parametres!$G$3),I388,C388)</f>
        <v>17723.810000000001</v>
      </c>
      <c r="O388" s="151">
        <f>+IF(OR($Q388=Parametres!$G$2,$Q388=Parametres!$G$3),J388,D388)</f>
        <v>0</v>
      </c>
      <c r="P388" s="151">
        <f>+IF(OR($Q388=Parametres!$G$2,$Q388=Parametres!$G$3),K388,E388)</f>
        <v>17723.810000000001</v>
      </c>
      <c r="Q388" s="150" t="str">
        <f t="shared" si="32"/>
        <v>6-Coût des ventes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630T</v>
      </c>
      <c r="U388" s="152" t="str">
        <f>+VLOOKUP($L388,Data_Validation!$A:$D,3,0)</f>
        <v>Véhicules neufs</v>
      </c>
      <c r="V388" s="152" t="str">
        <f>+VLOOKUP($L388,Data_Validation!$A:$D,4,0)</f>
        <v>Rev. Autres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1696</v>
      </c>
      <c r="B389" s="708" t="s">
        <v>844</v>
      </c>
      <c r="C389" s="710">
        <v>18288.59</v>
      </c>
      <c r="D389" s="710">
        <v>3694.06</v>
      </c>
      <c r="E389" s="710">
        <v>21982.65</v>
      </c>
      <c r="F389" s="708" t="s">
        <v>2014</v>
      </c>
      <c r="G389" s="708" t="s">
        <v>450</v>
      </c>
      <c r="H389" s="664" t="s">
        <v>2997</v>
      </c>
      <c r="I389" s="664"/>
      <c r="J389" s="664"/>
      <c r="K389" s="664"/>
      <c r="L389" s="149" t="str">
        <f t="shared" si="30"/>
        <v>659A</v>
      </c>
      <c r="M389" s="150" t="str">
        <f t="shared" si="31"/>
        <v>C/V - BMW SPA PROGRAMME</v>
      </c>
      <c r="N389" s="151">
        <f>+IF(OR($Q389=Parametres!$G$2,$Q389=Parametres!$G$3),I389,C389)</f>
        <v>18288.59</v>
      </c>
      <c r="O389" s="151">
        <f>+IF(OR($Q389=Parametres!$G$2,$Q389=Parametres!$G$3),J389,D389)</f>
        <v>3694.06</v>
      </c>
      <c r="P389" s="151">
        <f>+IF(OR($Q389=Parametres!$G$2,$Q389=Parametres!$G$3),K389,E389)</f>
        <v>21982.65</v>
      </c>
      <c r="Q389" s="150" t="str">
        <f t="shared" si="32"/>
        <v>6-Coût des ventes</v>
      </c>
      <c r="R389" s="149" t="str">
        <f t="shared" si="33"/>
        <v>459A</v>
      </c>
      <c r="S389" s="150" t="str">
        <f t="shared" si="34"/>
        <v>_</v>
      </c>
      <c r="T389" s="152" t="str">
        <f>+VLOOKUP($L389,Data_Validation!$A:$D,1,0)</f>
        <v>659A</v>
      </c>
      <c r="U389" s="152" t="str">
        <f>+VLOOKUP($L389,Data_Validation!$A:$D,3,0)</f>
        <v>service</v>
      </c>
      <c r="V389" s="152" t="str">
        <f>+VLOOKUP($L389,Data_Validation!$A:$D,4,0)</f>
        <v>M/O Esthétique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1710</v>
      </c>
      <c r="B390" s="708" t="s">
        <v>954</v>
      </c>
      <c r="C390" s="710">
        <v>18476.46</v>
      </c>
      <c r="D390" s="710">
        <v>979.83</v>
      </c>
      <c r="E390" s="710">
        <v>19456.29</v>
      </c>
      <c r="F390" s="708" t="s">
        <v>2014</v>
      </c>
      <c r="G390" s="708" t="s">
        <v>434</v>
      </c>
      <c r="H390" s="664" t="s">
        <v>2997</v>
      </c>
      <c r="I390" s="663"/>
      <c r="J390" s="663"/>
      <c r="K390" s="663"/>
      <c r="L390" s="149" t="str">
        <f t="shared" si="30"/>
        <v>672D</v>
      </c>
      <c r="M390" s="150" t="str">
        <f t="shared" si="31"/>
        <v>C/V - PIECES ENTRETIEN BMW AUTO</v>
      </c>
      <c r="N390" s="151">
        <f>+IF(OR($Q390=Parametres!$G$2,$Q390=Parametres!$G$3),I390,C390)</f>
        <v>18476.46</v>
      </c>
      <c r="O390" s="151">
        <f>+IF(OR($Q390=Parametres!$G$2,$Q390=Parametres!$G$3),J390,D390)</f>
        <v>979.83</v>
      </c>
      <c r="P390" s="151">
        <f>+IF(OR($Q390=Parametres!$G$2,$Q390=Parametres!$G$3),K390,E390)</f>
        <v>19456.29</v>
      </c>
      <c r="Q390" s="150" t="str">
        <f t="shared" si="32"/>
        <v>6-Coût des ventes</v>
      </c>
      <c r="R390" s="149" t="str">
        <f t="shared" si="33"/>
        <v>472D</v>
      </c>
      <c r="S390" s="150" t="str">
        <f t="shared" si="34"/>
        <v>_</v>
      </c>
      <c r="T390" s="152" t="str">
        <f>+VLOOKUP($L390,Data_Validation!$A:$D,1,0)</f>
        <v>672D</v>
      </c>
      <c r="U390" s="152" t="str">
        <f>+VLOOKUP($L390,Data_Validation!$A:$D,3,0)</f>
        <v>pièces</v>
      </c>
      <c r="V390" s="152" t="str">
        <f>+VLOOKUP($L390,Data_Validation!$A:$D,4,0)</f>
        <v>P/A Garantie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1756</v>
      </c>
      <c r="B391" s="708" t="s">
        <v>946</v>
      </c>
      <c r="C391" s="710">
        <v>19939.66</v>
      </c>
      <c r="D391" s="710">
        <v>894.6</v>
      </c>
      <c r="E391" s="710">
        <v>20834.259999999998</v>
      </c>
      <c r="F391" s="708" t="s">
        <v>2014</v>
      </c>
      <c r="G391" s="708" t="s">
        <v>420</v>
      </c>
      <c r="H391" s="664" t="s">
        <v>2997</v>
      </c>
      <c r="I391" s="663"/>
      <c r="J391" s="663"/>
      <c r="K391" s="663"/>
      <c r="L391" s="149" t="str">
        <f t="shared" si="30"/>
        <v>641A</v>
      </c>
      <c r="M391" s="150" t="str">
        <f t="shared" si="31"/>
        <v>C/V - RECOND. BMW AUTO CERT</v>
      </c>
      <c r="N391" s="151">
        <f>+IF(OR($Q391=Parametres!$G$2,$Q391=Parametres!$G$3),I391,C391)</f>
        <v>19939.66</v>
      </c>
      <c r="O391" s="151">
        <f>+IF(OR($Q391=Parametres!$G$2,$Q391=Parametres!$G$3),J391,D391)</f>
        <v>894.6</v>
      </c>
      <c r="P391" s="151">
        <f>+IF(OR($Q391=Parametres!$G$2,$Q391=Parametres!$G$3),K391,E391)</f>
        <v>20834.259999999998</v>
      </c>
      <c r="Q391" s="150" t="str">
        <f t="shared" si="32"/>
        <v>6-Coût des ventes</v>
      </c>
      <c r="R391" s="149" t="str">
        <f t="shared" si="33"/>
        <v>440A</v>
      </c>
      <c r="S391" s="150" t="str">
        <f t="shared" si="34"/>
        <v>_</v>
      </c>
      <c r="T391" s="152" t="str">
        <f>+VLOOKUP($L391,Data_Validation!$A:$D,1,0)</f>
        <v>641A</v>
      </c>
      <c r="U391" s="152" t="str">
        <f>+VLOOKUP($L391,Data_Validation!$A:$D,3,0)</f>
        <v>Véhicules usagés</v>
      </c>
      <c r="V391" s="152" t="str">
        <f>+VLOOKUP($L391,Data_Validation!$A:$D,4,0)</f>
        <v>Certifié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2850</v>
      </c>
      <c r="B392" s="708" t="s">
        <v>2842</v>
      </c>
      <c r="C392" s="710">
        <v>22199.89</v>
      </c>
      <c r="D392" s="710">
        <v>1495.18</v>
      </c>
      <c r="E392" s="710">
        <v>23695.07</v>
      </c>
      <c r="F392" s="708" t="s">
        <v>2014</v>
      </c>
      <c r="G392" s="708" t="s">
        <v>3009</v>
      </c>
      <c r="H392" s="664" t="s">
        <v>2997</v>
      </c>
      <c r="I392" s="663"/>
      <c r="J392" s="663"/>
      <c r="K392" s="663"/>
      <c r="L392" s="149" t="str">
        <f t="shared" si="30"/>
        <v>675L</v>
      </c>
      <c r="M392" s="150" t="str">
        <f t="shared" si="31"/>
        <v>C/V - RISTOURNES VENTES WHOLESALES</v>
      </c>
      <c r="N392" s="151">
        <f>+IF(OR($Q392=Parametres!$G$2,$Q392=Parametres!$G$3),I392,C392)</f>
        <v>22199.89</v>
      </c>
      <c r="O392" s="151">
        <f>+IF(OR($Q392=Parametres!$G$2,$Q392=Parametres!$G$3),J392,D392)</f>
        <v>1495.18</v>
      </c>
      <c r="P392" s="151">
        <f>+IF(OR($Q392=Parametres!$G$2,$Q392=Parametres!$G$3),K392,E392)</f>
        <v>23695.07</v>
      </c>
      <c r="Q392" s="150" t="str">
        <f t="shared" si="32"/>
        <v>6-Coût des ventes</v>
      </c>
      <c r="R392" s="149" t="str">
        <f t="shared" si="33"/>
        <v>675</v>
      </c>
      <c r="S392" s="150" t="str">
        <f t="shared" si="34"/>
        <v>_</v>
      </c>
      <c r="T392" s="152" t="str">
        <f>+VLOOKUP($L392,Data_Validation!$A:$D,1,0)</f>
        <v>675L</v>
      </c>
      <c r="U392" s="152" t="str">
        <f>+VLOOKUP($L392,Data_Validation!$A:$D,3,0)</f>
        <v>Pièces</v>
      </c>
      <c r="V392" s="152" t="str">
        <f>+VLOOKUP($L392,Data_Validation!$A:$D,4,0)</f>
        <v>Ventes de Gros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1707</v>
      </c>
      <c r="B393" s="708" t="s">
        <v>1708</v>
      </c>
      <c r="C393" s="710">
        <v>28577.9</v>
      </c>
      <c r="D393" s="710">
        <v>1481</v>
      </c>
      <c r="E393" s="710">
        <v>30058.9</v>
      </c>
      <c r="F393" s="708" t="s">
        <v>2014</v>
      </c>
      <c r="G393" s="708" t="s">
        <v>625</v>
      </c>
      <c r="H393" s="664" t="s">
        <v>2997</v>
      </c>
      <c r="I393" s="664"/>
      <c r="J393" s="664"/>
      <c r="K393" s="664"/>
      <c r="L393" s="149" t="str">
        <f t="shared" si="30"/>
        <v>630A</v>
      </c>
      <c r="M393" s="150" t="str">
        <f t="shared" si="31"/>
        <v>C/V - MARQUAGE OTOPROTEC NEUF BMW AUTO</v>
      </c>
      <c r="N393" s="151">
        <f>+IF(OR($Q393=Parametres!$G$2,$Q393=Parametres!$G$3),I393,C393)</f>
        <v>28577.9</v>
      </c>
      <c r="O393" s="151">
        <f>+IF(OR($Q393=Parametres!$G$2,$Q393=Parametres!$G$3),J393,D393)</f>
        <v>1481</v>
      </c>
      <c r="P393" s="151">
        <f>+IF(OR($Q393=Parametres!$G$2,$Q393=Parametres!$G$3),K393,E393)</f>
        <v>30058.9</v>
      </c>
      <c r="Q393" s="150" t="str">
        <f t="shared" si="32"/>
        <v>6-Coût des ventes</v>
      </c>
      <c r="R393" s="149" t="str">
        <f t="shared" si="33"/>
        <v>430</v>
      </c>
      <c r="S393" s="150" t="str">
        <f t="shared" si="34"/>
        <v>_</v>
      </c>
      <c r="T393" s="152" t="str">
        <f>+VLOOKUP($L393,Data_Validation!$A:$D,1,0)</f>
        <v>630A</v>
      </c>
      <c r="U393" s="152" t="str">
        <f>+VLOOKUP($L393,Data_Validation!$A:$D,3,0)</f>
        <v>Véhicules neufs</v>
      </c>
      <c r="V393" s="152" t="str">
        <f>+VLOOKUP($L393,Data_Validation!$A:$D,4,0)</f>
        <v>Rev. Autres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1800</v>
      </c>
      <c r="B394" s="708" t="s">
        <v>969</v>
      </c>
      <c r="C394" s="710">
        <v>29119.82</v>
      </c>
      <c r="D394" s="710">
        <v>4072.13</v>
      </c>
      <c r="E394" s="710">
        <v>33191.949999999997</v>
      </c>
      <c r="F394" s="708" t="s">
        <v>2014</v>
      </c>
      <c r="G394" s="708" t="s">
        <v>1118</v>
      </c>
      <c r="H394" s="664" t="s">
        <v>2997</v>
      </c>
      <c r="I394" s="663"/>
      <c r="J394" s="663"/>
      <c r="K394" s="663"/>
      <c r="L394" s="149" t="str">
        <f t="shared" si="30"/>
        <v>674E</v>
      </c>
      <c r="M394" s="150" t="str">
        <f t="shared" si="31"/>
        <v>C/V - PIECES COMP. BMW ACCESSOIRE</v>
      </c>
      <c r="N394" s="151">
        <f>+IF(OR($Q394=Parametres!$G$2,$Q394=Parametres!$G$3),I394,C394)</f>
        <v>29119.82</v>
      </c>
      <c r="O394" s="151">
        <f>+IF(OR($Q394=Parametres!$G$2,$Q394=Parametres!$G$3),J394,D394)</f>
        <v>4072.13</v>
      </c>
      <c r="P394" s="151">
        <f>+IF(OR($Q394=Parametres!$G$2,$Q394=Parametres!$G$3),K394,E394)</f>
        <v>33191.949999999997</v>
      </c>
      <c r="Q394" s="150" t="str">
        <f t="shared" si="32"/>
        <v>6-Coût des ventes</v>
      </c>
      <c r="R394" s="149" t="str">
        <f t="shared" si="33"/>
        <v>474A</v>
      </c>
      <c r="S394" s="150" t="str">
        <f t="shared" si="34"/>
        <v>_</v>
      </c>
      <c r="T394" s="152" t="str">
        <f>+VLOOKUP($L394,Data_Validation!$A:$D,1,0)</f>
        <v>674E</v>
      </c>
      <c r="U394" s="152" t="str">
        <f>+VLOOKUP($L394,Data_Validation!$A:$D,3,0)</f>
        <v>pièces</v>
      </c>
      <c r="V394" s="152" t="str">
        <f>+VLOOKUP($L394,Data_Validation!$A:$D,4,0)</f>
        <v>Ventes Détails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1947</v>
      </c>
      <c r="B395" s="662" t="s">
        <v>1948</v>
      </c>
      <c r="C395" s="663">
        <v>30169.7</v>
      </c>
      <c r="D395" s="663">
        <v>0</v>
      </c>
      <c r="E395" s="663">
        <v>30169.7</v>
      </c>
      <c r="F395" s="662" t="s">
        <v>2014</v>
      </c>
      <c r="G395" s="662" t="s">
        <v>625</v>
      </c>
      <c r="H395" s="657" t="s">
        <v>2997</v>
      </c>
      <c r="I395" s="656"/>
      <c r="J395" s="656"/>
      <c r="K395" s="656"/>
      <c r="L395" s="149" t="str">
        <f t="shared" si="30"/>
        <v>630R</v>
      </c>
      <c r="M395" s="150" t="str">
        <f t="shared" si="31"/>
        <v>C/V - ASS. REMP. NEUF BMW AUTO</v>
      </c>
      <c r="N395" s="151">
        <f>+IF(OR($Q395=Parametres!$G$2,$Q395=Parametres!$G$3),I395,C395)</f>
        <v>30169.7</v>
      </c>
      <c r="O395" s="151">
        <f>+IF(OR($Q395=Parametres!$G$2,$Q395=Parametres!$G$3),J395,D395)</f>
        <v>0</v>
      </c>
      <c r="P395" s="151">
        <f>+IF(OR($Q395=Parametres!$G$2,$Q395=Parametres!$G$3),K395,E395)</f>
        <v>30169.7</v>
      </c>
      <c r="Q395" s="150" t="str">
        <f t="shared" si="32"/>
        <v>6-Coût des ventes</v>
      </c>
      <c r="R395" s="149" t="str">
        <f t="shared" si="33"/>
        <v>430</v>
      </c>
      <c r="S395" s="150" t="str">
        <f t="shared" si="34"/>
        <v>_</v>
      </c>
      <c r="T395" s="152" t="str">
        <f>+VLOOKUP($L395,Data_Validation!$A:$D,1,0)</f>
        <v>630R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1768</v>
      </c>
      <c r="B396" s="708" t="s">
        <v>1769</v>
      </c>
      <c r="C396" s="709">
        <v>34911.53</v>
      </c>
      <c r="D396" s="709">
        <v>1500.55</v>
      </c>
      <c r="E396" s="709">
        <v>36412.080000000002</v>
      </c>
      <c r="F396" s="708" t="s">
        <v>2014</v>
      </c>
      <c r="G396" s="708" t="s">
        <v>1110</v>
      </c>
      <c r="H396" s="709" t="s">
        <v>2997</v>
      </c>
      <c r="I396" s="710"/>
      <c r="J396" s="710"/>
      <c r="K396" s="710"/>
      <c r="L396" s="149" t="str">
        <f t="shared" si="30"/>
        <v>661A</v>
      </c>
      <c r="M396" s="150" t="str">
        <f t="shared" si="31"/>
        <v>C/V - M/O GARANTIE BMW AUTO</v>
      </c>
      <c r="N396" s="151">
        <f>+IF(OR($Q396=Parametres!$G$2,$Q396=Parametres!$G$3),I396,C396)</f>
        <v>34911.53</v>
      </c>
      <c r="O396" s="151">
        <f>+IF(OR($Q396=Parametres!$G$2,$Q396=Parametres!$G$3),J396,D396)</f>
        <v>1500.55</v>
      </c>
      <c r="P396" s="151">
        <f>+IF(OR($Q396=Parametres!$G$2,$Q396=Parametres!$G$3),K396,E396)</f>
        <v>36412.080000000002</v>
      </c>
      <c r="Q396" s="150" t="str">
        <f t="shared" si="32"/>
        <v>6-Coût des ventes</v>
      </c>
      <c r="R396" s="149" t="str">
        <f t="shared" si="33"/>
        <v>461A</v>
      </c>
      <c r="S396" s="150" t="str">
        <f t="shared" si="34"/>
        <v>_</v>
      </c>
      <c r="T396" s="152" t="str">
        <f>+VLOOKUP($L396,Data_Validation!$A:$D,1,0)</f>
        <v>661A</v>
      </c>
      <c r="U396" s="152" t="str">
        <f>+VLOOKUP($L396,Data_Validation!$A:$D,3,0)</f>
        <v>service</v>
      </c>
      <c r="V396" s="152" t="str">
        <f>+VLOOKUP($L396,Data_Validation!$A:$D,4,0)</f>
        <v>M/O Garantie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1763</v>
      </c>
      <c r="B397" s="662" t="s">
        <v>927</v>
      </c>
      <c r="C397" s="663">
        <v>35691.040000000001</v>
      </c>
      <c r="D397" s="663">
        <v>2662.87</v>
      </c>
      <c r="E397" s="663">
        <v>38353.910000000003</v>
      </c>
      <c r="F397" s="662" t="s">
        <v>2014</v>
      </c>
      <c r="G397" s="662" t="s">
        <v>445</v>
      </c>
      <c r="H397" s="657" t="s">
        <v>2997</v>
      </c>
      <c r="I397" s="656"/>
      <c r="J397" s="656"/>
      <c r="K397" s="656"/>
      <c r="L397" s="149" t="str">
        <f t="shared" si="30"/>
        <v>689A</v>
      </c>
      <c r="M397" s="150" t="str">
        <f t="shared" si="31"/>
        <v>C/V - HUILES &amp; GRAISSES</v>
      </c>
      <c r="N397" s="151">
        <f>+IF(OR($Q397=Parametres!$G$2,$Q397=Parametres!$G$3),I397,C397)</f>
        <v>35691.040000000001</v>
      </c>
      <c r="O397" s="151">
        <f>+IF(OR($Q397=Parametres!$G$2,$Q397=Parametres!$G$3),J397,D397)</f>
        <v>2662.87</v>
      </c>
      <c r="P397" s="151">
        <f>+IF(OR($Q397=Parametres!$G$2,$Q397=Parametres!$G$3),K397,E397)</f>
        <v>38353.910000000003</v>
      </c>
      <c r="Q397" s="150" t="str">
        <f t="shared" si="32"/>
        <v>6-Coût des ventes</v>
      </c>
      <c r="R397" s="149" t="str">
        <f t="shared" si="33"/>
        <v>489A</v>
      </c>
      <c r="S397" s="150" t="str">
        <f t="shared" si="34"/>
        <v>_</v>
      </c>
      <c r="T397" s="152" t="str">
        <f>+VLOOKUP($L397,Data_Validation!$A:$D,1,0)</f>
        <v>689A</v>
      </c>
      <c r="U397" s="152" t="str">
        <f>+VLOOKUP($L397,Data_Validation!$A:$D,3,0)</f>
        <v>pièces</v>
      </c>
      <c r="V397" s="152" t="str">
        <f>+VLOOKUP($L397,Data_Validation!$A:$D,4,0)</f>
        <v>Huiles et Graisse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1759</v>
      </c>
      <c r="B398" s="708" t="s">
        <v>845</v>
      </c>
      <c r="C398" s="710">
        <v>37352.82</v>
      </c>
      <c r="D398" s="710">
        <v>4895.92</v>
      </c>
      <c r="E398" s="710">
        <v>42248.74</v>
      </c>
      <c r="F398" s="708" t="s">
        <v>2014</v>
      </c>
      <c r="G398" s="708" t="s">
        <v>434</v>
      </c>
      <c r="H398" s="664" t="s">
        <v>2997</v>
      </c>
      <c r="I398" s="663"/>
      <c r="J398" s="663"/>
      <c r="K398" s="663"/>
      <c r="L398" s="149" t="str">
        <f t="shared" si="30"/>
        <v>672E</v>
      </c>
      <c r="M398" s="150" t="str">
        <f t="shared" si="31"/>
        <v>C/V - PIECES ENTRETIEN BMW CAMION</v>
      </c>
      <c r="N398" s="151">
        <f>+IF(OR($Q398=Parametres!$G$2,$Q398=Parametres!$G$3),I398,C398)</f>
        <v>37352.82</v>
      </c>
      <c r="O398" s="151">
        <f>+IF(OR($Q398=Parametres!$G$2,$Q398=Parametres!$G$3),J398,D398)</f>
        <v>4895.92</v>
      </c>
      <c r="P398" s="151">
        <f>+IF(OR($Q398=Parametres!$G$2,$Q398=Parametres!$G$3),K398,E398)</f>
        <v>42248.74</v>
      </c>
      <c r="Q398" s="150" t="str">
        <f t="shared" si="32"/>
        <v>6-Coût des ventes</v>
      </c>
      <c r="R398" s="149" t="str">
        <f t="shared" si="33"/>
        <v>472D</v>
      </c>
      <c r="S398" s="150" t="str">
        <f t="shared" si="34"/>
        <v>_</v>
      </c>
      <c r="T398" s="152" t="str">
        <f>+VLOOKUP($L398,Data_Validation!$A:$D,1,0)</f>
        <v>672E</v>
      </c>
      <c r="U398" s="152" t="str">
        <f>+VLOOKUP($L398,Data_Validation!$A:$D,3,0)</f>
        <v>pièces</v>
      </c>
      <c r="V398" s="152" t="str">
        <f>+VLOOKUP($L398,Data_Validation!$A:$D,4,0)</f>
        <v>P/A Garantie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1751</v>
      </c>
      <c r="B399" s="708" t="s">
        <v>1752</v>
      </c>
      <c r="C399" s="710">
        <v>41295.279999999999</v>
      </c>
      <c r="D399" s="710">
        <v>4964.55</v>
      </c>
      <c r="E399" s="710">
        <v>46259.83</v>
      </c>
      <c r="F399" s="708" t="s">
        <v>2014</v>
      </c>
      <c r="G399" s="708" t="s">
        <v>445</v>
      </c>
      <c r="H399" s="664" t="s">
        <v>2997</v>
      </c>
      <c r="I399" s="663"/>
      <c r="J399" s="663"/>
      <c r="K399" s="663"/>
      <c r="L399" s="149" t="str">
        <f t="shared" si="30"/>
        <v>689B</v>
      </c>
      <c r="M399" s="150" t="str">
        <f t="shared" si="31"/>
        <v>C/V - HUILE &amp; GRAISSE</v>
      </c>
      <c r="N399" s="151">
        <f>+IF(OR($Q399=Parametres!$G$2,$Q399=Parametres!$G$3),I399,C399)</f>
        <v>41295.279999999999</v>
      </c>
      <c r="O399" s="151">
        <f>+IF(OR($Q399=Parametres!$G$2,$Q399=Parametres!$G$3),J399,D399)</f>
        <v>4964.55</v>
      </c>
      <c r="P399" s="151">
        <f>+IF(OR($Q399=Parametres!$G$2,$Q399=Parametres!$G$3),K399,E399)</f>
        <v>46259.83</v>
      </c>
      <c r="Q399" s="150" t="str">
        <f t="shared" si="32"/>
        <v>6-Coût des ventes</v>
      </c>
      <c r="R399" s="149" t="str">
        <f t="shared" si="33"/>
        <v>489A</v>
      </c>
      <c r="S399" s="150" t="str">
        <f t="shared" si="34"/>
        <v>_</v>
      </c>
      <c r="T399" s="152" t="str">
        <f>+VLOOKUP($L399,Data_Validation!$A:$D,1,0)</f>
        <v>689B</v>
      </c>
      <c r="U399" s="152" t="str">
        <f>+VLOOKUP($L399,Data_Validation!$A:$D,3,0)</f>
        <v>pièces</v>
      </c>
      <c r="V399" s="152" t="str">
        <f>+VLOOKUP($L399,Data_Validation!$A:$D,4,0)</f>
        <v>Huiles et Graisse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1436</v>
      </c>
      <c r="B400" s="708" t="s">
        <v>935</v>
      </c>
      <c r="C400" s="710">
        <v>42037.39</v>
      </c>
      <c r="D400" s="710">
        <v>6302.38</v>
      </c>
      <c r="E400" s="710">
        <v>48339.77</v>
      </c>
      <c r="F400" s="708" t="s">
        <v>2014</v>
      </c>
      <c r="G400" s="708" t="s">
        <v>416</v>
      </c>
      <c r="H400" s="664" t="s">
        <v>2997</v>
      </c>
      <c r="I400" s="663"/>
      <c r="J400" s="663"/>
      <c r="K400" s="663"/>
      <c r="L400" s="149" t="str">
        <f t="shared" si="30"/>
        <v>641B</v>
      </c>
      <c r="M400" s="150" t="str">
        <f t="shared" si="31"/>
        <v>C/V - RECOND. BMW AUTO NON-CERT</v>
      </c>
      <c r="N400" s="151">
        <f>+IF(OR($Q400=Parametres!$G$2,$Q400=Parametres!$G$3),I400,C400)</f>
        <v>42037.39</v>
      </c>
      <c r="O400" s="151">
        <f>+IF(OR($Q400=Parametres!$G$2,$Q400=Parametres!$G$3),J400,D400)</f>
        <v>6302.38</v>
      </c>
      <c r="P400" s="151">
        <f>+IF(OR($Q400=Parametres!$G$2,$Q400=Parametres!$G$3),K400,E400)</f>
        <v>48339.77</v>
      </c>
      <c r="Q400" s="150" t="str">
        <f t="shared" si="32"/>
        <v>6-Coût des ventes</v>
      </c>
      <c r="R400" s="149" t="str">
        <f t="shared" si="33"/>
        <v>440B</v>
      </c>
      <c r="S400" s="150" t="str">
        <f t="shared" si="34"/>
        <v>_</v>
      </c>
      <c r="T400" s="152" t="str">
        <f>+VLOOKUP($L400,Data_Validation!$A:$D,1,0)</f>
        <v>641B</v>
      </c>
      <c r="U400" s="152" t="str">
        <f>+VLOOKUP($L400,Data_Validation!$A:$D,3,0)</f>
        <v>Véhicules usagés</v>
      </c>
      <c r="V400" s="152" t="str">
        <f>+VLOOKUP($L400,Data_Validation!$A:$D,4,0)</f>
        <v>Non 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1764</v>
      </c>
      <c r="B401" s="708" t="s">
        <v>1765</v>
      </c>
      <c r="C401" s="710">
        <v>42227.15</v>
      </c>
      <c r="D401" s="710">
        <v>0</v>
      </c>
      <c r="E401" s="710">
        <v>42227.15</v>
      </c>
      <c r="F401" s="708" t="s">
        <v>2014</v>
      </c>
      <c r="G401" s="708" t="s">
        <v>1143</v>
      </c>
      <c r="H401" s="664" t="s">
        <v>2997</v>
      </c>
      <c r="I401" s="663"/>
      <c r="J401" s="663"/>
      <c r="K401" s="663"/>
      <c r="L401" s="149" t="str">
        <f t="shared" si="30"/>
        <v>663A</v>
      </c>
      <c r="M401" s="150" t="str">
        <f t="shared" si="31"/>
        <v>C/V - SOUS-TRAITANCE BMW AUTO</v>
      </c>
      <c r="N401" s="151">
        <f>+IF(OR($Q401=Parametres!$G$2,$Q401=Parametres!$G$3),I401,C401)</f>
        <v>42227.15</v>
      </c>
      <c r="O401" s="151">
        <f>+IF(OR($Q401=Parametres!$G$2,$Q401=Parametres!$G$3),J401,D401)</f>
        <v>0</v>
      </c>
      <c r="P401" s="151">
        <f>+IF(OR($Q401=Parametres!$G$2,$Q401=Parametres!$G$3),K401,E401)</f>
        <v>42227.15</v>
      </c>
      <c r="Q401" s="150" t="str">
        <f t="shared" si="32"/>
        <v>6-Coût des ventes</v>
      </c>
      <c r="R401" s="149" t="str">
        <f t="shared" si="33"/>
        <v>463A</v>
      </c>
      <c r="S401" s="150" t="str">
        <f t="shared" si="34"/>
        <v>_</v>
      </c>
      <c r="T401" s="152" t="str">
        <f>+VLOOKUP($L401,Data_Validation!$A:$D,1,0)</f>
        <v>663A</v>
      </c>
      <c r="U401" s="152" t="str">
        <f>+VLOOKUP($L401,Data_Validation!$A:$D,3,0)</f>
        <v>service</v>
      </c>
      <c r="V401" s="152" t="str">
        <f>+VLOOKUP($L401,Data_Validation!$A:$D,4,0)</f>
        <v>Sous-traitement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1672</v>
      </c>
      <c r="B402" s="662" t="s">
        <v>911</v>
      </c>
      <c r="C402" s="663">
        <v>42868.4</v>
      </c>
      <c r="D402" s="663">
        <v>2394.4899999999998</v>
      </c>
      <c r="E402" s="663">
        <v>45262.89</v>
      </c>
      <c r="F402" s="662" t="s">
        <v>2014</v>
      </c>
      <c r="G402" s="662" t="s">
        <v>418</v>
      </c>
      <c r="H402" s="657" t="s">
        <v>2997</v>
      </c>
      <c r="I402" s="656"/>
      <c r="J402" s="656"/>
      <c r="K402" s="656"/>
      <c r="L402" s="149" t="str">
        <f t="shared" si="30"/>
        <v>648A</v>
      </c>
      <c r="M402" s="150" t="str">
        <f t="shared" si="31"/>
        <v>C/V - RECOND. BMW CAMION CERT</v>
      </c>
      <c r="N402" s="151">
        <f>+IF(OR($Q402=Parametres!$G$2,$Q402=Parametres!$G$3),I402,C402)</f>
        <v>42868.4</v>
      </c>
      <c r="O402" s="151">
        <f>+IF(OR($Q402=Parametres!$G$2,$Q402=Parametres!$G$3),J402,D402)</f>
        <v>2394.4899999999998</v>
      </c>
      <c r="P402" s="151">
        <f>+IF(OR($Q402=Parametres!$G$2,$Q402=Parametres!$G$3),K402,E402)</f>
        <v>45262.89</v>
      </c>
      <c r="Q402" s="150" t="str">
        <f t="shared" si="32"/>
        <v>6-Coût des ventes</v>
      </c>
      <c r="R402" s="149" t="str">
        <f t="shared" si="33"/>
        <v>446A</v>
      </c>
      <c r="S402" s="150" t="str">
        <f t="shared" si="34"/>
        <v>_</v>
      </c>
      <c r="T402" s="152" t="str">
        <f>+VLOOKUP($L402,Data_Validation!$A:$D,1,0)</f>
        <v>648A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1431</v>
      </c>
      <c r="B403" s="662" t="s">
        <v>1432</v>
      </c>
      <c r="C403" s="663">
        <v>47930.43</v>
      </c>
      <c r="D403" s="663">
        <v>4184</v>
      </c>
      <c r="E403" s="663">
        <v>52114.43</v>
      </c>
      <c r="F403" s="662" t="s">
        <v>2014</v>
      </c>
      <c r="G403" s="662" t="s">
        <v>625</v>
      </c>
      <c r="H403" s="657" t="s">
        <v>2997</v>
      </c>
      <c r="I403" s="656"/>
      <c r="J403" s="656"/>
      <c r="K403" s="656"/>
      <c r="L403" s="149" t="str">
        <f t="shared" si="30"/>
        <v>630C</v>
      </c>
      <c r="M403" s="150" t="str">
        <f t="shared" si="31"/>
        <v>C/V - ACCESSOIRES NEUF BMW AUTO</v>
      </c>
      <c r="N403" s="151">
        <f>+IF(OR($Q403=Parametres!$G$2,$Q403=Parametres!$G$3),I403,C403)</f>
        <v>47930.43</v>
      </c>
      <c r="O403" s="151">
        <f>+IF(OR($Q403=Parametres!$G$2,$Q403=Parametres!$G$3),J403,D403)</f>
        <v>4184</v>
      </c>
      <c r="P403" s="151">
        <f>+IF(OR($Q403=Parametres!$G$2,$Q403=Parametres!$G$3),K403,E403)</f>
        <v>52114.43</v>
      </c>
      <c r="Q403" s="150" t="str">
        <f t="shared" si="32"/>
        <v>6-Coût des ventes</v>
      </c>
      <c r="R403" s="149" t="str">
        <f t="shared" si="33"/>
        <v>430</v>
      </c>
      <c r="S403" s="150" t="str">
        <f t="shared" si="34"/>
        <v>_</v>
      </c>
      <c r="T403" s="152" t="str">
        <f>+VLOOKUP($L403,Data_Validation!$A:$D,1,0)</f>
        <v>630C</v>
      </c>
      <c r="U403" s="152" t="str">
        <f>+VLOOKUP($L403,Data_Validation!$A:$D,3,0)</f>
        <v>Véhicules neufs</v>
      </c>
      <c r="V403" s="152" t="str">
        <f>+VLOOKUP($L403,Data_Validation!$A:$D,4,0)</f>
        <v>Rev. Autres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1733</v>
      </c>
      <c r="B404" s="708" t="s">
        <v>917</v>
      </c>
      <c r="C404" s="710">
        <v>50082.41</v>
      </c>
      <c r="D404" s="710">
        <v>11267.41</v>
      </c>
      <c r="E404" s="710">
        <v>61349.82</v>
      </c>
      <c r="F404" s="708" t="s">
        <v>2014</v>
      </c>
      <c r="G404" s="708" t="s">
        <v>404</v>
      </c>
      <c r="H404" s="664" t="s">
        <v>2997</v>
      </c>
      <c r="I404" s="664"/>
      <c r="J404" s="664"/>
      <c r="K404" s="664"/>
      <c r="L404" s="149" t="str">
        <f t="shared" si="30"/>
        <v>648B</v>
      </c>
      <c r="M404" s="150" t="str">
        <f t="shared" si="31"/>
        <v>C/V - RECOND. BMW CAMION NON-CERT</v>
      </c>
      <c r="N404" s="151">
        <f>+IF(OR($Q404=Parametres!$G$2,$Q404=Parametres!$G$3),I404,C404)</f>
        <v>50082.41</v>
      </c>
      <c r="O404" s="497">
        <f>+IF(OR($Q404=Parametres!$G$2,$Q404=Parametres!$G$3),J404,D404)</f>
        <v>11267.41</v>
      </c>
      <c r="P404" s="151">
        <f>+IF(OR($Q404=Parametres!$G$2,$Q404=Parametres!$G$3),K404,E404)</f>
        <v>61349.82</v>
      </c>
      <c r="Q404" s="150" t="str">
        <f t="shared" si="32"/>
        <v>6-Coût des ventes</v>
      </c>
      <c r="R404" s="149" t="str">
        <f t="shared" si="33"/>
        <v>446B</v>
      </c>
      <c r="S404" s="150" t="str">
        <f t="shared" si="34"/>
        <v>_</v>
      </c>
      <c r="T404" s="152" t="str">
        <f>+VLOOKUP($L404,Data_Validation!$A:$D,1,0)</f>
        <v>648B</v>
      </c>
      <c r="U404" s="152" t="str">
        <f>+VLOOKUP($L404,Data_Validation!$A:$D,3,0)</f>
        <v>Véhicules usagés</v>
      </c>
      <c r="V404" s="152" t="str">
        <f>+VLOOKUP($L404,Data_Validation!$A:$D,4,0)</f>
        <v>Non Certifié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1785</v>
      </c>
      <c r="B405" s="708" t="s">
        <v>912</v>
      </c>
      <c r="C405" s="710">
        <v>50407.58</v>
      </c>
      <c r="D405" s="710">
        <v>4096.41</v>
      </c>
      <c r="E405" s="710">
        <v>54503.99</v>
      </c>
      <c r="F405" s="708" t="s">
        <v>2014</v>
      </c>
      <c r="G405" s="708" t="s">
        <v>1110</v>
      </c>
      <c r="H405" s="602" t="s">
        <v>2997</v>
      </c>
      <c r="I405" s="601"/>
      <c r="J405" s="601"/>
      <c r="K405" s="601"/>
      <c r="L405" s="149" t="str">
        <f t="shared" si="30"/>
        <v>661B</v>
      </c>
      <c r="M405" s="150" t="str">
        <f t="shared" si="31"/>
        <v>C/V - M/O GARANTIE BMW CAMION</v>
      </c>
      <c r="N405" s="151">
        <f>+IF(OR($Q405=Parametres!$G$2,$Q405=Parametres!$G$3),I405,C405)</f>
        <v>50407.58</v>
      </c>
      <c r="O405" s="151">
        <f>+IF(OR($Q405=Parametres!$G$2,$Q405=Parametres!$G$3),J405,D405)</f>
        <v>4096.41</v>
      </c>
      <c r="P405" s="151">
        <f>+IF(OR($Q405=Parametres!$G$2,$Q405=Parametres!$G$3),K405,E405)</f>
        <v>54503.99</v>
      </c>
      <c r="Q405" s="150" t="str">
        <f t="shared" si="32"/>
        <v>6-Coût des ventes</v>
      </c>
      <c r="R405" s="149" t="str">
        <f t="shared" si="33"/>
        <v>461A</v>
      </c>
      <c r="S405" s="150" t="str">
        <f t="shared" si="34"/>
        <v>_</v>
      </c>
      <c r="T405" s="152" t="str">
        <f>+VLOOKUP($L405,Data_Validation!$A:$D,1,0)</f>
        <v>661B</v>
      </c>
      <c r="U405" s="152" t="str">
        <f>+VLOOKUP($L405,Data_Validation!$A:$D,3,0)</f>
        <v>service</v>
      </c>
      <c r="V405" s="152" t="str">
        <f>+VLOOKUP($L405,Data_Validation!$A:$D,4,0)</f>
        <v>M/O Garantie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1725</v>
      </c>
      <c r="B406" s="708" t="s">
        <v>923</v>
      </c>
      <c r="C406" s="710">
        <v>51317.72</v>
      </c>
      <c r="D406" s="710">
        <v>7274.44</v>
      </c>
      <c r="E406" s="710">
        <v>58592.160000000003</v>
      </c>
      <c r="F406" s="708" t="s">
        <v>2014</v>
      </c>
      <c r="G406" s="708" t="s">
        <v>1139</v>
      </c>
      <c r="H406" s="657" t="s">
        <v>2997</v>
      </c>
      <c r="I406" s="656"/>
      <c r="J406" s="656"/>
      <c r="K406" s="656"/>
      <c r="L406" s="149" t="str">
        <f t="shared" si="30"/>
        <v>662B</v>
      </c>
      <c r="M406" s="150" t="str">
        <f t="shared" si="31"/>
        <v>C/V - M/O INTERNE BMW CAMION</v>
      </c>
      <c r="N406" s="151">
        <f>+IF(OR($Q406=Parametres!$G$2,$Q406=Parametres!$G$3),I406,C406)</f>
        <v>51317.72</v>
      </c>
      <c r="O406" s="151">
        <f>+IF(OR($Q406=Parametres!$G$2,$Q406=Parametres!$G$3),J406,D406)</f>
        <v>7274.44</v>
      </c>
      <c r="P406" s="151">
        <f>+IF(OR($Q406=Parametres!$G$2,$Q406=Parametres!$G$3),K406,E406)</f>
        <v>58592.160000000003</v>
      </c>
      <c r="Q406" s="150" t="str">
        <f t="shared" si="32"/>
        <v>6-Coût des ventes</v>
      </c>
      <c r="R406" s="149" t="str">
        <f t="shared" si="33"/>
        <v>462A</v>
      </c>
      <c r="S406" s="150" t="str">
        <f t="shared" si="34"/>
        <v>_</v>
      </c>
      <c r="T406" s="152" t="str">
        <f>+VLOOKUP($L406,Data_Validation!$A:$D,1,0)</f>
        <v>662B</v>
      </c>
      <c r="U406" s="152" t="str">
        <f>+VLOOKUP($L406,Data_Validation!$A:$D,3,0)</f>
        <v>service</v>
      </c>
      <c r="V406" s="152" t="str">
        <f>+VLOOKUP($L406,Data_Validation!$A:$D,4,0)</f>
        <v>M/O Interne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1798</v>
      </c>
      <c r="B407" s="708" t="s">
        <v>909</v>
      </c>
      <c r="C407" s="709">
        <v>52709.84</v>
      </c>
      <c r="D407" s="709">
        <v>10158.39</v>
      </c>
      <c r="E407" s="709">
        <v>62868.23</v>
      </c>
      <c r="F407" s="708" t="s">
        <v>2014</v>
      </c>
      <c r="G407" s="708" t="s">
        <v>1132</v>
      </c>
      <c r="H407" s="709" t="s">
        <v>2997</v>
      </c>
      <c r="I407" s="710"/>
      <c r="J407" s="710"/>
      <c r="K407" s="710"/>
      <c r="L407" s="149" t="str">
        <f t="shared" si="30"/>
        <v>673B</v>
      </c>
      <c r="M407" s="150" t="str">
        <f t="shared" si="31"/>
        <v>C/V - PIECES INTERNE BMW CAMION</v>
      </c>
      <c r="N407" s="151">
        <f>+IF(OR($Q407=Parametres!$G$2,$Q407=Parametres!$G$3),I407,C407)</f>
        <v>52709.84</v>
      </c>
      <c r="O407" s="151">
        <f>+IF(OR($Q407=Parametres!$G$2,$Q407=Parametres!$G$3),J407,D407)</f>
        <v>10158.39</v>
      </c>
      <c r="P407" s="151">
        <f>+IF(OR($Q407=Parametres!$G$2,$Q407=Parametres!$G$3),K407,E407)</f>
        <v>62868.23</v>
      </c>
      <c r="Q407" s="150" t="str">
        <f t="shared" si="32"/>
        <v>6-Coût des ventes</v>
      </c>
      <c r="R407" s="149" t="str">
        <f t="shared" si="33"/>
        <v>473A</v>
      </c>
      <c r="S407" s="150" t="str">
        <f t="shared" si="34"/>
        <v>_</v>
      </c>
      <c r="T407" s="152" t="str">
        <f>+VLOOKUP($L407,Data_Validation!$A:$D,1,0)</f>
        <v>673B</v>
      </c>
      <c r="U407" s="152" t="str">
        <f>+VLOOKUP($L407,Data_Validation!$A:$D,3,0)</f>
        <v>pièces</v>
      </c>
      <c r="V407" s="152" t="str">
        <f>+VLOOKUP($L407,Data_Validation!$A:$D,4,0)</f>
        <v>Ventes Internes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1721</v>
      </c>
      <c r="B408" s="708" t="s">
        <v>1722</v>
      </c>
      <c r="C408" s="710">
        <v>55466.42</v>
      </c>
      <c r="D408" s="710">
        <v>3382.87</v>
      </c>
      <c r="E408" s="710">
        <v>58849.29</v>
      </c>
      <c r="F408" s="708" t="s">
        <v>2014</v>
      </c>
      <c r="G408" s="708" t="s">
        <v>1139</v>
      </c>
      <c r="H408" s="664" t="s">
        <v>2997</v>
      </c>
      <c r="I408" s="663"/>
      <c r="J408" s="663"/>
      <c r="K408" s="663"/>
      <c r="L408" s="149" t="str">
        <f t="shared" si="30"/>
        <v>662A</v>
      </c>
      <c r="M408" s="150" t="str">
        <f t="shared" si="31"/>
        <v>C/V - M/O INTERNE BMW AUTO</v>
      </c>
      <c r="N408" s="151">
        <f>+IF(OR($Q408=Parametres!$G$2,$Q408=Parametres!$G$3),I408,C408)</f>
        <v>55466.42</v>
      </c>
      <c r="O408" s="151">
        <f>+IF(OR($Q408=Parametres!$G$2,$Q408=Parametres!$G$3),J408,D408)</f>
        <v>3382.87</v>
      </c>
      <c r="P408" s="151">
        <f>+IF(OR($Q408=Parametres!$G$2,$Q408=Parametres!$G$3),K408,E408)</f>
        <v>58849.29</v>
      </c>
      <c r="Q408" s="150" t="str">
        <f t="shared" si="32"/>
        <v>6-Coût des ventes</v>
      </c>
      <c r="R408" s="149" t="str">
        <f t="shared" si="33"/>
        <v>462A</v>
      </c>
      <c r="S408" s="150" t="str">
        <f t="shared" si="34"/>
        <v>_</v>
      </c>
      <c r="T408" s="152" t="str">
        <f>+VLOOKUP($L408,Data_Validation!$A:$D,1,0)</f>
        <v>662A</v>
      </c>
      <c r="U408" s="152" t="str">
        <f>+VLOOKUP($L408,Data_Validation!$A:$D,3,0)</f>
        <v>service</v>
      </c>
      <c r="V408" s="152" t="str">
        <f>+VLOOKUP($L408,Data_Validation!$A:$D,4,0)</f>
        <v>M/O Interne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2149</v>
      </c>
      <c r="B409" s="708" t="s">
        <v>2150</v>
      </c>
      <c r="C409" s="710">
        <v>57398.18</v>
      </c>
      <c r="D409" s="710">
        <v>7713</v>
      </c>
      <c r="E409" s="710">
        <v>65111.18</v>
      </c>
      <c r="F409" s="708" t="s">
        <v>2014</v>
      </c>
      <c r="G409" s="708" t="s">
        <v>1012</v>
      </c>
      <c r="H409" s="664" t="s">
        <v>2997</v>
      </c>
      <c r="I409" s="663"/>
      <c r="J409" s="663"/>
      <c r="K409" s="663"/>
      <c r="L409" s="149" t="str">
        <f t="shared" si="30"/>
        <v>654A</v>
      </c>
      <c r="M409" s="150" t="str">
        <f t="shared" si="31"/>
        <v>C/V - CONT ENTRET USAGE BMW NON-CERT</v>
      </c>
      <c r="N409" s="151">
        <f>+IF(OR($Q409=Parametres!$G$2,$Q409=Parametres!$G$3),I409,C409)</f>
        <v>57398.18</v>
      </c>
      <c r="O409" s="151">
        <f>+IF(OR($Q409=Parametres!$G$2,$Q409=Parametres!$G$3),J409,D409)</f>
        <v>7713</v>
      </c>
      <c r="P409" s="151">
        <f>+IF(OR($Q409=Parametres!$G$2,$Q409=Parametres!$G$3),K409,E409)</f>
        <v>65111.18</v>
      </c>
      <c r="Q409" s="150" t="str">
        <f t="shared" si="32"/>
        <v>6-Coût des ventes</v>
      </c>
      <c r="R409" s="149" t="str">
        <f t="shared" si="33"/>
        <v>450</v>
      </c>
      <c r="S409" s="150" t="str">
        <f t="shared" si="34"/>
        <v>_</v>
      </c>
      <c r="T409" s="152" t="str">
        <f>+VLOOKUP($L409,Data_Validation!$A:$D,1,0)</f>
        <v>654A</v>
      </c>
      <c r="U409" s="152" t="str">
        <f>+VLOOKUP($L409,Data_Validation!$A:$D,3,0)</f>
        <v>Véhicules usagés</v>
      </c>
      <c r="V409" s="152" t="str">
        <f>+VLOOKUP($L409,Data_Validation!$A:$D,4,0)</f>
        <v>Rev. Protections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1746</v>
      </c>
      <c r="B410" s="708" t="s">
        <v>1747</v>
      </c>
      <c r="C410" s="709">
        <v>58576.87</v>
      </c>
      <c r="D410" s="709">
        <v>8313.52</v>
      </c>
      <c r="E410" s="709">
        <v>66890.39</v>
      </c>
      <c r="F410" s="708" t="s">
        <v>2014</v>
      </c>
      <c r="G410" s="708" t="s">
        <v>1116</v>
      </c>
      <c r="H410" s="709" t="s">
        <v>2997</v>
      </c>
      <c r="I410" s="710"/>
      <c r="J410" s="710"/>
      <c r="K410" s="710"/>
      <c r="L410" s="149" t="str">
        <f t="shared" si="30"/>
        <v>660A</v>
      </c>
      <c r="M410" s="150" t="str">
        <f t="shared" si="31"/>
        <v>C/V - M/O CLIENT BMW AUTO</v>
      </c>
      <c r="N410" s="151">
        <f>+IF(OR($Q410=Parametres!$G$2,$Q410=Parametres!$G$3),I410,C410)</f>
        <v>58576.87</v>
      </c>
      <c r="O410" s="151">
        <f>+IF(OR($Q410=Parametres!$G$2,$Q410=Parametres!$G$3),J410,D410)</f>
        <v>8313.52</v>
      </c>
      <c r="P410" s="151">
        <f>+IF(OR($Q410=Parametres!$G$2,$Q410=Parametres!$G$3),K410,E410)</f>
        <v>66890.39</v>
      </c>
      <c r="Q410" s="150" t="str">
        <f t="shared" si="32"/>
        <v>6-Coût des ventes</v>
      </c>
      <c r="R410" s="149" t="str">
        <f t="shared" si="33"/>
        <v>460A</v>
      </c>
      <c r="S410" s="150" t="str">
        <f t="shared" si="34"/>
        <v>_</v>
      </c>
      <c r="T410" s="152" t="str">
        <f>+VLOOKUP($L410,Data_Validation!$A:$D,1,0)</f>
        <v>660A</v>
      </c>
      <c r="U410" s="152" t="str">
        <f>+VLOOKUP($L410,Data_Validation!$A:$D,3,0)</f>
        <v>service</v>
      </c>
      <c r="V410" s="152" t="str">
        <f>+VLOOKUP($L410,Data_Validation!$A:$D,4,0)</f>
        <v>M/O Client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1801</v>
      </c>
      <c r="B411" s="708" t="s">
        <v>664</v>
      </c>
      <c r="C411" s="709">
        <v>60862</v>
      </c>
      <c r="D411" s="709">
        <v>0</v>
      </c>
      <c r="E411" s="709">
        <v>60862</v>
      </c>
      <c r="F411" s="708" t="s">
        <v>2014</v>
      </c>
      <c r="G411" s="708" t="s">
        <v>2011</v>
      </c>
      <c r="H411" s="709" t="s">
        <v>2997</v>
      </c>
      <c r="I411" s="710"/>
      <c r="J411" s="710"/>
      <c r="K411" s="710"/>
      <c r="L411" s="149" t="str">
        <f t="shared" si="30"/>
        <v>632A</v>
      </c>
      <c r="M411" s="150" t="str">
        <f t="shared" si="31"/>
        <v>C/V - GAR PROL NEUF BMW AUTO</v>
      </c>
      <c r="N411" s="151">
        <f>+IF(OR($Q411=Parametres!$G$2,$Q411=Parametres!$G$3),I411,C411)</f>
        <v>60862</v>
      </c>
      <c r="O411" s="151">
        <f>+IF(OR($Q411=Parametres!$G$2,$Q411=Parametres!$G$3),J411,D411)</f>
        <v>0</v>
      </c>
      <c r="P411" s="151">
        <f>+IF(OR($Q411=Parametres!$G$2,$Q411=Parametres!$G$3),K411,E411)</f>
        <v>60862</v>
      </c>
      <c r="Q411" s="150" t="str">
        <f t="shared" si="32"/>
        <v>6-Coût des ventes</v>
      </c>
      <c r="R411" s="149" t="str">
        <f t="shared" si="33"/>
        <v>432</v>
      </c>
      <c r="S411" s="150" t="str">
        <f t="shared" si="34"/>
        <v>_</v>
      </c>
      <c r="T411" s="152" t="str">
        <f>+VLOOKUP($L411,Data_Validation!$A:$D,1,0)</f>
        <v>632A</v>
      </c>
      <c r="U411" s="152" t="str">
        <f>+VLOOKUP($L411,Data_Validation!$A:$D,3,0)</f>
        <v>Véhicules neufs</v>
      </c>
      <c r="V411" s="152" t="str">
        <f>+VLOOKUP($L411,Data_Validation!$A:$D,4,0)</f>
        <v>Rev. Protections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1422</v>
      </c>
      <c r="B412" s="662" t="s">
        <v>1423</v>
      </c>
      <c r="C412" s="663">
        <v>66802.240000000005</v>
      </c>
      <c r="D412" s="663">
        <v>0</v>
      </c>
      <c r="E412" s="663">
        <v>66802.240000000005</v>
      </c>
      <c r="F412" s="662" t="s">
        <v>2014</v>
      </c>
      <c r="G412" s="662" t="s">
        <v>1379</v>
      </c>
      <c r="H412" s="657" t="s">
        <v>2997</v>
      </c>
      <c r="I412" s="656"/>
      <c r="J412" s="656"/>
      <c r="K412" s="656"/>
      <c r="L412" s="149" t="str">
        <f t="shared" si="30"/>
        <v>614D</v>
      </c>
      <c r="M412" s="150" t="str">
        <f t="shared" si="31"/>
        <v>C/V - 430I XDRIVE GRAN COUPE</v>
      </c>
      <c r="N412" s="151">
        <f>+IF(OR($Q412=Parametres!$G$2,$Q412=Parametres!$G$3),I412,C412)</f>
        <v>66802.240000000005</v>
      </c>
      <c r="O412" s="151">
        <f>+IF(OR($Q412=Parametres!$G$2,$Q412=Parametres!$G$3),J412,D412)</f>
        <v>0</v>
      </c>
      <c r="P412" s="151">
        <f>+IF(OR($Q412=Parametres!$G$2,$Q412=Parametres!$G$3),K412,E412)</f>
        <v>66802.240000000005</v>
      </c>
      <c r="Q412" s="150" t="str">
        <f t="shared" si="32"/>
        <v>6-Coût des ventes</v>
      </c>
      <c r="R412" s="149" t="str">
        <f t="shared" si="33"/>
        <v>414D</v>
      </c>
      <c r="S412" s="150" t="str">
        <f t="shared" si="34"/>
        <v>_</v>
      </c>
      <c r="T412" s="152" t="str">
        <f>+VLOOKUP($L412,Data_Validation!$A:$D,1,0)</f>
        <v>614D</v>
      </c>
      <c r="U412" s="152" t="str">
        <f>+VLOOKUP($L412,Data_Validation!$A:$D,3,0)</f>
        <v>Véhicules neufs</v>
      </c>
      <c r="V412" s="152" t="str">
        <f>+VLOOKUP($L412,Data_Validation!$A:$D,4,0)</f>
        <v>Autos détail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1735</v>
      </c>
      <c r="B413" s="708" t="s">
        <v>967</v>
      </c>
      <c r="C413" s="710">
        <v>67241.149999999994</v>
      </c>
      <c r="D413" s="710">
        <v>12977.25</v>
      </c>
      <c r="E413" s="710">
        <v>80218.399999999994</v>
      </c>
      <c r="F413" s="708" t="s">
        <v>2014</v>
      </c>
      <c r="G413" s="708" t="s">
        <v>1116</v>
      </c>
      <c r="H413" s="664" t="s">
        <v>2997</v>
      </c>
      <c r="I413" s="663"/>
      <c r="J413" s="663"/>
      <c r="K413" s="663"/>
      <c r="L413" s="149" t="str">
        <f t="shared" si="30"/>
        <v>660B</v>
      </c>
      <c r="M413" s="150" t="str">
        <f t="shared" si="31"/>
        <v>C/V - M/O CLIENT BMW CAMION</v>
      </c>
      <c r="N413" s="151">
        <f>+IF(OR($Q413=Parametres!$G$2,$Q413=Parametres!$G$3),I413,C413)</f>
        <v>67241.149999999994</v>
      </c>
      <c r="O413" s="151">
        <f>+IF(OR($Q413=Parametres!$G$2,$Q413=Parametres!$G$3),J413,D413)</f>
        <v>12977.25</v>
      </c>
      <c r="P413" s="151">
        <f>+IF(OR($Q413=Parametres!$G$2,$Q413=Parametres!$G$3),K413,E413)</f>
        <v>80218.399999999994</v>
      </c>
      <c r="Q413" s="150" t="str">
        <f t="shared" si="32"/>
        <v>6-Coût des ventes</v>
      </c>
      <c r="R413" s="149" t="str">
        <f t="shared" si="33"/>
        <v>460A</v>
      </c>
      <c r="S413" s="150" t="str">
        <f t="shared" si="34"/>
        <v>_</v>
      </c>
      <c r="T413" s="152" t="str">
        <f>+VLOOKUP($L413,Data_Validation!$A:$D,1,0)</f>
        <v>660B</v>
      </c>
      <c r="U413" s="152" t="str">
        <f>+VLOOKUP($L413,Data_Validation!$A:$D,3,0)</f>
        <v>service</v>
      </c>
      <c r="V413" s="152" t="str">
        <f>+VLOOKUP($L413,Data_Validation!$A:$D,4,0)</f>
        <v>M/O Client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1988</v>
      </c>
      <c r="B414" s="708" t="s">
        <v>1989</v>
      </c>
      <c r="C414" s="710">
        <v>67441</v>
      </c>
      <c r="D414" s="710">
        <v>13123</v>
      </c>
      <c r="E414" s="710">
        <v>80564</v>
      </c>
      <c r="F414" s="708" t="s">
        <v>2014</v>
      </c>
      <c r="G414" s="708" t="s">
        <v>368</v>
      </c>
      <c r="H414" s="602" t="s">
        <v>2997</v>
      </c>
      <c r="I414" s="602"/>
      <c r="J414" s="602"/>
      <c r="K414" s="602"/>
      <c r="L414" s="149" t="str">
        <f t="shared" si="30"/>
        <v>652C</v>
      </c>
      <c r="M414" s="150" t="str">
        <f t="shared" si="31"/>
        <v>C/V - GAR PROL USAGE BMW NON-CERT</v>
      </c>
      <c r="N414" s="151">
        <f>+IF(OR($Q414=Parametres!$G$2,$Q414=Parametres!$G$3),I414,C414)</f>
        <v>67441</v>
      </c>
      <c r="O414" s="151">
        <f>+IF(OR($Q414=Parametres!$G$2,$Q414=Parametres!$G$3),J414,D414)</f>
        <v>13123</v>
      </c>
      <c r="P414" s="151">
        <f>+IF(OR($Q414=Parametres!$G$2,$Q414=Parametres!$G$3),K414,E414)</f>
        <v>80564</v>
      </c>
      <c r="Q414" s="150" t="str">
        <f t="shared" si="32"/>
        <v>6-Coût des ventes</v>
      </c>
      <c r="R414" s="149" t="str">
        <f t="shared" si="33"/>
        <v>452</v>
      </c>
      <c r="S414" s="150" t="str">
        <f t="shared" si="34"/>
        <v>_</v>
      </c>
      <c r="T414" s="152" t="str">
        <f>+VLOOKUP($L414,Data_Validation!$A:$D,1,0)</f>
        <v>652C</v>
      </c>
      <c r="U414" s="152" t="str">
        <f>+VLOOKUP($L414,Data_Validation!$A:$D,3,0)</f>
        <v>Véhicules usagés</v>
      </c>
      <c r="V414" s="152" t="str">
        <f>+VLOOKUP($L414,Data_Validation!$A:$D,4,0)</f>
        <v>Rev. Protections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2102</v>
      </c>
      <c r="B415" s="708" t="s">
        <v>2101</v>
      </c>
      <c r="C415" s="710">
        <v>68547.8</v>
      </c>
      <c r="D415" s="710">
        <v>3856</v>
      </c>
      <c r="E415" s="710">
        <v>72403.8</v>
      </c>
      <c r="F415" s="708" t="s">
        <v>2014</v>
      </c>
      <c r="G415" s="708" t="s">
        <v>2359</v>
      </c>
      <c r="H415" s="657" t="s">
        <v>2997</v>
      </c>
      <c r="I415" s="656"/>
      <c r="J415" s="656"/>
      <c r="K415" s="656"/>
      <c r="L415" s="149" t="str">
        <f t="shared" si="30"/>
        <v>634A</v>
      </c>
      <c r="M415" s="150" t="str">
        <f t="shared" si="31"/>
        <v>C/V - CONT ENTRET NEUF BMW AUTO</v>
      </c>
      <c r="N415" s="151">
        <f>+IF(OR($Q415=Parametres!$G$2,$Q415=Parametres!$G$3),I415,C415)</f>
        <v>68547.8</v>
      </c>
      <c r="O415" s="151">
        <f>+IF(OR($Q415=Parametres!$G$2,$Q415=Parametres!$G$3),J415,D415)</f>
        <v>3856</v>
      </c>
      <c r="P415" s="151">
        <f>+IF(OR($Q415=Parametres!$G$2,$Q415=Parametres!$G$3),K415,E415)</f>
        <v>72403.8</v>
      </c>
      <c r="Q415" s="150" t="str">
        <f t="shared" si="32"/>
        <v>6-Coût des ventes</v>
      </c>
      <c r="R415" s="149" t="str">
        <f t="shared" si="33"/>
        <v>434</v>
      </c>
      <c r="S415" s="150" t="str">
        <f t="shared" si="34"/>
        <v>_</v>
      </c>
      <c r="T415" s="152" t="str">
        <f>+VLOOKUP($L415,Data_Validation!$A:$D,1,0)</f>
        <v>634A</v>
      </c>
      <c r="U415" s="152" t="str">
        <f>+VLOOKUP($L415,Data_Validation!$A:$D,3,0)</f>
        <v>Véhicules neufs</v>
      </c>
      <c r="V415" s="152" t="str">
        <f>+VLOOKUP($L415,Data_Validation!$A:$D,4,0)</f>
        <v>Rev. Protections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1417</v>
      </c>
      <c r="B416" s="708" t="s">
        <v>647</v>
      </c>
      <c r="C416" s="710">
        <v>70143.81</v>
      </c>
      <c r="D416" s="710">
        <v>0</v>
      </c>
      <c r="E416" s="710">
        <v>70143.81</v>
      </c>
      <c r="F416" s="708" t="s">
        <v>2014</v>
      </c>
      <c r="G416" s="708" t="s">
        <v>610</v>
      </c>
      <c r="H416" s="664" t="s">
        <v>2997</v>
      </c>
      <c r="I416" s="663"/>
      <c r="J416" s="663"/>
      <c r="K416" s="663"/>
      <c r="L416" s="149" t="str">
        <f t="shared" si="30"/>
        <v>606G</v>
      </c>
      <c r="M416" s="150" t="str">
        <f t="shared" si="31"/>
        <v>C/V - M240I XDRIVE COUPE</v>
      </c>
      <c r="N416" s="151">
        <f>+IF(OR($Q416=Parametres!$G$2,$Q416=Parametres!$G$3),I416,C416)</f>
        <v>70143.81</v>
      </c>
      <c r="O416" s="151">
        <f>+IF(OR($Q416=Parametres!$G$2,$Q416=Parametres!$G$3),J416,D416)</f>
        <v>0</v>
      </c>
      <c r="P416" s="151">
        <f>+IF(OR($Q416=Parametres!$G$2,$Q416=Parametres!$G$3),K416,E416)</f>
        <v>70143.81</v>
      </c>
      <c r="Q416" s="150" t="str">
        <f t="shared" si="32"/>
        <v>6-Coût des ventes</v>
      </c>
      <c r="R416" s="149" t="str">
        <f t="shared" si="33"/>
        <v>406G</v>
      </c>
      <c r="S416" s="150" t="str">
        <f t="shared" si="34"/>
        <v>_</v>
      </c>
      <c r="T416" s="152" t="str">
        <f>+VLOOKUP($L416,Data_Validation!$A:$D,1,0)</f>
        <v>606G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1738</v>
      </c>
      <c r="B417" s="708" t="s">
        <v>666</v>
      </c>
      <c r="C417" s="709">
        <v>70916.81</v>
      </c>
      <c r="D417" s="709">
        <v>4057.38</v>
      </c>
      <c r="E417" s="709">
        <v>74974.19</v>
      </c>
      <c r="F417" s="708" t="s">
        <v>2014</v>
      </c>
      <c r="G417" s="708" t="s">
        <v>384</v>
      </c>
      <c r="H417" s="709" t="s">
        <v>2997</v>
      </c>
      <c r="I417" s="710"/>
      <c r="J417" s="710"/>
      <c r="K417" s="710"/>
      <c r="L417" s="149" t="str">
        <f t="shared" si="30"/>
        <v>643</v>
      </c>
      <c r="M417" s="150" t="str">
        <f t="shared" si="31"/>
        <v>C/V - RECOND. AUTRES</v>
      </c>
      <c r="N417" s="151">
        <f>+IF(OR($Q417=Parametres!$G$2,$Q417=Parametres!$G$3),I417,C417)</f>
        <v>70916.81</v>
      </c>
      <c r="O417" s="151">
        <f>+IF(OR($Q417=Parametres!$G$2,$Q417=Parametres!$G$3),J417,D417)</f>
        <v>4057.38</v>
      </c>
      <c r="P417" s="151">
        <f>+IF(OR($Q417=Parametres!$G$2,$Q417=Parametres!$G$3),K417,E417)</f>
        <v>74974.19</v>
      </c>
      <c r="Q417" s="150" t="str">
        <f t="shared" si="32"/>
        <v>6-Coût des ventes</v>
      </c>
      <c r="R417" s="149" t="str">
        <f t="shared" si="33"/>
        <v>442</v>
      </c>
      <c r="S417" s="150" t="str">
        <f t="shared" si="34"/>
        <v>_</v>
      </c>
      <c r="T417" s="152" t="str">
        <f>+VLOOKUP($L417,Data_Validation!$A:$D,1,0)</f>
        <v>643</v>
      </c>
      <c r="U417" s="152" t="str">
        <f>+VLOOKUP($L417,Data_Validation!$A:$D,3,0)</f>
        <v>Véhicules usagés</v>
      </c>
      <c r="V417" s="152" t="str">
        <f>+VLOOKUP($L417,Data_Validation!$A:$D,4,0)</f>
        <v>Autres marques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1754</v>
      </c>
      <c r="B418" s="708" t="s">
        <v>1755</v>
      </c>
      <c r="C418" s="709">
        <v>71117.83</v>
      </c>
      <c r="D418" s="709">
        <v>9536.68</v>
      </c>
      <c r="E418" s="709">
        <v>80654.509999999995</v>
      </c>
      <c r="F418" s="708" t="s">
        <v>2014</v>
      </c>
      <c r="G418" s="708" t="s">
        <v>1132</v>
      </c>
      <c r="H418" s="709" t="s">
        <v>2997</v>
      </c>
      <c r="I418" s="710"/>
      <c r="J418" s="710"/>
      <c r="K418" s="710"/>
      <c r="L418" s="149" t="str">
        <f t="shared" si="30"/>
        <v>673A</v>
      </c>
      <c r="M418" s="150" t="str">
        <f t="shared" si="31"/>
        <v>C/V - PIECES INTERNE BMW AUTO</v>
      </c>
      <c r="N418" s="151">
        <f>+IF(OR($Q418=Parametres!$G$2,$Q418=Parametres!$G$3),I418,C418)</f>
        <v>71117.83</v>
      </c>
      <c r="O418" s="151">
        <f>+IF(OR($Q418=Parametres!$G$2,$Q418=Parametres!$G$3),J418,D418)</f>
        <v>9536.68</v>
      </c>
      <c r="P418" s="151">
        <f>+IF(OR($Q418=Parametres!$G$2,$Q418=Parametres!$G$3),K418,E418)</f>
        <v>80654.509999999995</v>
      </c>
      <c r="Q418" s="150" t="str">
        <f t="shared" si="32"/>
        <v>6-Coût des ventes</v>
      </c>
      <c r="R418" s="149" t="str">
        <f t="shared" si="33"/>
        <v>473A</v>
      </c>
      <c r="S418" s="150" t="str">
        <f t="shared" si="34"/>
        <v>_</v>
      </c>
      <c r="T418" s="152" t="str">
        <f>+VLOOKUP($L418,Data_Validation!$A:$D,1,0)</f>
        <v>673A</v>
      </c>
      <c r="U418" s="152" t="str">
        <f>+VLOOKUP($L418,Data_Validation!$A:$D,3,0)</f>
        <v>pièces</v>
      </c>
      <c r="V418" s="152" t="str">
        <f>+VLOOKUP($L418,Data_Validation!$A:$D,4,0)</f>
        <v>Ventes Internes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2462</v>
      </c>
      <c r="B419" s="708" t="s">
        <v>662</v>
      </c>
      <c r="C419" s="710">
        <v>73860.73</v>
      </c>
      <c r="D419" s="710">
        <v>0</v>
      </c>
      <c r="E419" s="710">
        <v>73860.73</v>
      </c>
      <c r="F419" s="708" t="s">
        <v>2014</v>
      </c>
      <c r="G419" s="708" t="s">
        <v>624</v>
      </c>
      <c r="H419" s="664" t="s">
        <v>2997</v>
      </c>
      <c r="I419" s="663"/>
      <c r="J419" s="663"/>
      <c r="K419" s="663"/>
      <c r="L419" s="149" t="str">
        <f t="shared" si="30"/>
        <v>629A</v>
      </c>
      <c r="M419" s="150" t="str">
        <f t="shared" si="31"/>
        <v>C/V - X4 XDRIVE 40I/ X4 XDRIVE 30I</v>
      </c>
      <c r="N419" s="151">
        <f>+IF(OR($Q419=Parametres!$G$2,$Q419=Parametres!$G$3),I419,C419)</f>
        <v>73860.73</v>
      </c>
      <c r="O419" s="151">
        <f>+IF(OR($Q419=Parametres!$G$2,$Q419=Parametres!$G$3),J419,D419)</f>
        <v>0</v>
      </c>
      <c r="P419" s="151">
        <f>+IF(OR($Q419=Parametres!$G$2,$Q419=Parametres!$G$3),K419,E419)</f>
        <v>73860.73</v>
      </c>
      <c r="Q419" s="150" t="str">
        <f t="shared" si="32"/>
        <v>6-Coût des ventes</v>
      </c>
      <c r="R419" s="149" t="str">
        <f t="shared" si="33"/>
        <v>429A</v>
      </c>
      <c r="S419" s="150" t="str">
        <f t="shared" si="34"/>
        <v>_</v>
      </c>
      <c r="T419" s="152" t="str">
        <f>+VLOOKUP($L419,Data_Validation!$A:$D,1,0)</f>
        <v>629A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1451</v>
      </c>
      <c r="B420" s="708" t="s">
        <v>670</v>
      </c>
      <c r="C420" s="710">
        <v>76389.89</v>
      </c>
      <c r="D420" s="710">
        <v>0</v>
      </c>
      <c r="E420" s="710">
        <v>76389.89</v>
      </c>
      <c r="F420" s="708" t="s">
        <v>2014</v>
      </c>
      <c r="G420" s="708" t="s">
        <v>631</v>
      </c>
      <c r="H420" s="664" t="s">
        <v>2997</v>
      </c>
      <c r="I420" s="663"/>
      <c r="J420" s="663"/>
      <c r="K420" s="663"/>
      <c r="L420" s="149" t="str">
        <f t="shared" si="30"/>
        <v>652A</v>
      </c>
      <c r="M420" s="150" t="str">
        <f t="shared" si="31"/>
        <v>C/V - Z4 30I XDR</v>
      </c>
      <c r="N420" s="151">
        <f>+IF(OR($Q420=Parametres!$G$2,$Q420=Parametres!$G$3),I420,C420)</f>
        <v>76389.89</v>
      </c>
      <c r="O420" s="151">
        <f>+IF(OR($Q420=Parametres!$G$2,$Q420=Parametres!$G$3),J420,D420)</f>
        <v>0</v>
      </c>
      <c r="P420" s="151">
        <f>+IF(OR($Q420=Parametres!$G$2,$Q420=Parametres!$G$3),K420,E420)</f>
        <v>76389.89</v>
      </c>
      <c r="Q420" s="150" t="str">
        <f t="shared" si="32"/>
        <v>6-Coût des ventes</v>
      </c>
      <c r="R420" s="149" t="str">
        <f t="shared" si="33"/>
        <v>452A</v>
      </c>
      <c r="S420" s="150" t="str">
        <f t="shared" si="34"/>
        <v>_</v>
      </c>
      <c r="T420" s="152" t="str">
        <f>+VLOOKUP($L420,Data_Validation!$A:$D,1,0)</f>
        <v>652A</v>
      </c>
      <c r="U420" s="152" t="str">
        <f>+VLOOKUP($L420,Data_Validation!$A:$D,3,0)</f>
        <v>Véhicules neufs</v>
      </c>
      <c r="V420" s="152" t="str">
        <f>+VLOOKUP($L420,Data_Validation!$A:$D,4,0)</f>
        <v>Autos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1425</v>
      </c>
      <c r="B421" s="708" t="s">
        <v>971</v>
      </c>
      <c r="C421" s="709">
        <v>79017.490000000005</v>
      </c>
      <c r="D421" s="709">
        <v>0</v>
      </c>
      <c r="E421" s="709">
        <v>79017.490000000005</v>
      </c>
      <c r="F421" s="708" t="s">
        <v>2014</v>
      </c>
      <c r="G421" s="708" t="s">
        <v>423</v>
      </c>
      <c r="H421" s="709" t="s">
        <v>2997</v>
      </c>
      <c r="I421" s="710"/>
      <c r="J421" s="710"/>
      <c r="K421" s="710"/>
      <c r="L421" s="149" t="str">
        <f t="shared" si="30"/>
        <v>619</v>
      </c>
      <c r="M421" s="150" t="str">
        <f t="shared" si="31"/>
        <v>C/V - FLEET VOITURE BMW</v>
      </c>
      <c r="N421" s="151">
        <f>+IF(OR($Q421=Parametres!$G$2,$Q421=Parametres!$G$3),I421,C421)</f>
        <v>79017.490000000005</v>
      </c>
      <c r="O421" s="151">
        <f>+IF(OR($Q421=Parametres!$G$2,$Q421=Parametres!$G$3),J421,D421)</f>
        <v>0</v>
      </c>
      <c r="P421" s="151">
        <f>+IF(OR($Q421=Parametres!$G$2,$Q421=Parametres!$G$3),K421,E421)</f>
        <v>79017.490000000005</v>
      </c>
      <c r="Q421" s="150" t="str">
        <f t="shared" si="32"/>
        <v>6-Coût des ventes</v>
      </c>
      <c r="R421" s="149" t="str">
        <f t="shared" si="33"/>
        <v>419</v>
      </c>
      <c r="S421" s="150" t="str">
        <f t="shared" si="34"/>
        <v>_</v>
      </c>
      <c r="T421" s="152" t="str">
        <f>+VLOOKUP($L421,Data_Validation!$A:$D,1,0)</f>
        <v>619</v>
      </c>
      <c r="U421" s="152" t="str">
        <f>+VLOOKUP($L421,Data_Validation!$A:$D,3,0)</f>
        <v>Véhicules neufs</v>
      </c>
      <c r="V421" s="152" t="str">
        <f>+VLOOKUP($L421,Data_Validation!$A:$D,4,0)</f>
        <v>Flottes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1807</v>
      </c>
      <c r="B422" s="708" t="s">
        <v>1808</v>
      </c>
      <c r="C422" s="710">
        <v>79329.86</v>
      </c>
      <c r="D422" s="710">
        <v>10026.629999999999</v>
      </c>
      <c r="E422" s="710">
        <v>89356.49</v>
      </c>
      <c r="F422" s="708" t="s">
        <v>2014</v>
      </c>
      <c r="G422" s="708" t="s">
        <v>1118</v>
      </c>
      <c r="H422" s="664" t="s">
        <v>2997</v>
      </c>
      <c r="I422" s="663"/>
      <c r="J422" s="663"/>
      <c r="K422" s="663"/>
      <c r="L422" s="149" t="str">
        <f t="shared" si="30"/>
        <v>674A</v>
      </c>
      <c r="M422" s="150" t="str">
        <f t="shared" si="31"/>
        <v>C/V - PIECES COMPTOIR BMW AUTO</v>
      </c>
      <c r="N422" s="151">
        <f>+IF(OR($Q422=Parametres!$G$2,$Q422=Parametres!$G$3),I422,C422)</f>
        <v>79329.86</v>
      </c>
      <c r="O422" s="497">
        <f>+IF(OR($Q422=Parametres!$G$2,$Q422=Parametres!$G$3),J422,D422)</f>
        <v>10026.629999999999</v>
      </c>
      <c r="P422" s="151">
        <f>+IF(OR($Q422=Parametres!$G$2,$Q422=Parametres!$G$3),K422,E422)</f>
        <v>89356.49</v>
      </c>
      <c r="Q422" s="150" t="str">
        <f t="shared" si="32"/>
        <v>6-Coût des ventes</v>
      </c>
      <c r="R422" s="149" t="str">
        <f t="shared" si="33"/>
        <v>474A</v>
      </c>
      <c r="S422" s="150" t="str">
        <f t="shared" si="34"/>
        <v>_</v>
      </c>
      <c r="T422" s="152" t="str">
        <f>+VLOOKUP($L422,Data_Validation!$A:$D,1,0)</f>
        <v>674A</v>
      </c>
      <c r="U422" s="152" t="str">
        <f>+VLOOKUP($L422,Data_Validation!$A:$D,3,0)</f>
        <v>pièces</v>
      </c>
      <c r="V422" s="152" t="str">
        <f>+VLOOKUP($L422,Data_Validation!$A:$D,4,0)</f>
        <v>Ventes Détails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1815</v>
      </c>
      <c r="B423" s="708" t="s">
        <v>964</v>
      </c>
      <c r="C423" s="710">
        <v>83765</v>
      </c>
      <c r="D423" s="710">
        <v>0</v>
      </c>
      <c r="E423" s="710">
        <v>83765</v>
      </c>
      <c r="F423" s="708" t="s">
        <v>2014</v>
      </c>
      <c r="G423" s="708" t="s">
        <v>368</v>
      </c>
      <c r="H423" s="664" t="s">
        <v>2997</v>
      </c>
      <c r="I423" s="663"/>
      <c r="J423" s="663"/>
      <c r="K423" s="663"/>
      <c r="L423" s="149" t="str">
        <f t="shared" si="30"/>
        <v>652</v>
      </c>
      <c r="M423" s="150" t="str">
        <f t="shared" si="31"/>
        <v>C/V - GAR PROL USAGE BMW CERT</v>
      </c>
      <c r="N423" s="151">
        <f>+IF(OR($Q423=Parametres!$G$2,$Q423=Parametres!$G$3),I423,C423)</f>
        <v>83765</v>
      </c>
      <c r="O423" s="151">
        <f>+IF(OR($Q423=Parametres!$G$2,$Q423=Parametres!$G$3),J423,D423)</f>
        <v>0</v>
      </c>
      <c r="P423" s="151">
        <f>+IF(OR($Q423=Parametres!$G$2,$Q423=Parametres!$G$3),K423,E423)</f>
        <v>83765</v>
      </c>
      <c r="Q423" s="150" t="str">
        <f t="shared" si="32"/>
        <v>6-Coût des ventes</v>
      </c>
      <c r="R423" s="149" t="str">
        <f t="shared" si="33"/>
        <v>452</v>
      </c>
      <c r="S423" s="150" t="str">
        <f t="shared" si="34"/>
        <v>_</v>
      </c>
      <c r="T423" s="152" t="str">
        <f>+VLOOKUP($L423,Data_Validation!$A:$D,1,0)</f>
        <v>652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2925</v>
      </c>
      <c r="B424" s="708" t="s">
        <v>2926</v>
      </c>
      <c r="C424" s="710">
        <v>84009.07</v>
      </c>
      <c r="D424" s="710">
        <v>0</v>
      </c>
      <c r="E424" s="710">
        <v>84009.07</v>
      </c>
      <c r="F424" s="708" t="s">
        <v>2014</v>
      </c>
      <c r="G424" s="708" t="s">
        <v>2924</v>
      </c>
      <c r="H424" s="664" t="s">
        <v>2997</v>
      </c>
      <c r="I424" s="663"/>
      <c r="J424" s="663"/>
      <c r="K424" s="663"/>
      <c r="L424" s="149" t="str">
        <f t="shared" si="30"/>
        <v>601A</v>
      </c>
      <c r="M424" s="150" t="str">
        <f t="shared" si="31"/>
        <v>C/V - M240I COUPE</v>
      </c>
      <c r="N424" s="151">
        <f>+IF(OR($Q424=Parametres!$G$2,$Q424=Parametres!$G$3),I424,C424)</f>
        <v>84009.07</v>
      </c>
      <c r="O424" s="151">
        <f>+IF(OR($Q424=Parametres!$G$2,$Q424=Parametres!$G$3),J424,D424)</f>
        <v>0</v>
      </c>
      <c r="P424" s="151">
        <f>+IF(OR($Q424=Parametres!$G$2,$Q424=Parametres!$G$3),K424,E424)</f>
        <v>84009.07</v>
      </c>
      <c r="Q424" s="150" t="str">
        <f t="shared" si="32"/>
        <v>6-Coût des ventes</v>
      </c>
      <c r="R424" s="149" t="str">
        <f t="shared" si="33"/>
        <v>401A</v>
      </c>
      <c r="S424" s="150" t="str">
        <f t="shared" si="34"/>
        <v>_</v>
      </c>
      <c r="T424" s="152" t="str">
        <f>+VLOOKUP($L424,Data_Validation!$A:$D,1,0)</f>
        <v>601A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1028</v>
      </c>
      <c r="B425" s="708" t="s">
        <v>981</v>
      </c>
      <c r="C425" s="709">
        <v>86623.22</v>
      </c>
      <c r="D425" s="709">
        <v>0</v>
      </c>
      <c r="E425" s="709">
        <v>86623.22</v>
      </c>
      <c r="F425" s="708" t="s">
        <v>2014</v>
      </c>
      <c r="G425" s="708" t="s">
        <v>407</v>
      </c>
      <c r="H425" s="709" t="s">
        <v>2997</v>
      </c>
      <c r="I425" s="710"/>
      <c r="J425" s="710"/>
      <c r="K425" s="710"/>
      <c r="L425" s="149" t="str">
        <f t="shared" si="30"/>
        <v>629C</v>
      </c>
      <c r="M425" s="150" t="str">
        <f t="shared" si="31"/>
        <v>C/V - X4 M40I XDRIVE</v>
      </c>
      <c r="N425" s="151">
        <f>+IF(OR($Q425=Parametres!$G$2,$Q425=Parametres!$G$3),I425,C425)</f>
        <v>86623.22</v>
      </c>
      <c r="O425" s="151">
        <f>+IF(OR($Q425=Parametres!$G$2,$Q425=Parametres!$G$3),J425,D425)</f>
        <v>0</v>
      </c>
      <c r="P425" s="151">
        <f>+IF(OR($Q425=Parametres!$G$2,$Q425=Parametres!$G$3),K425,E425)</f>
        <v>86623.22</v>
      </c>
      <c r="Q425" s="150" t="str">
        <f t="shared" si="32"/>
        <v>6-Coût des ventes</v>
      </c>
      <c r="R425" s="149" t="str">
        <f t="shared" si="33"/>
        <v>429C</v>
      </c>
      <c r="S425" s="150" t="str">
        <f t="shared" si="34"/>
        <v>_</v>
      </c>
      <c r="T425" s="152" t="str">
        <f>+VLOOKUP($L425,Data_Validation!$A:$D,1,0)</f>
        <v>629C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1034</v>
      </c>
      <c r="B426" s="708" t="s">
        <v>676</v>
      </c>
      <c r="C426" s="710">
        <v>94862.32</v>
      </c>
      <c r="D426" s="710">
        <v>3228.66</v>
      </c>
      <c r="E426" s="710">
        <v>98090.98</v>
      </c>
      <c r="F426" s="708" t="s">
        <v>2014</v>
      </c>
      <c r="G426" s="708" t="s">
        <v>1096</v>
      </c>
      <c r="H426" s="664" t="s">
        <v>2997</v>
      </c>
      <c r="I426" s="664"/>
      <c r="J426" s="664"/>
      <c r="K426" s="664"/>
      <c r="L426" s="149" t="str">
        <f t="shared" si="30"/>
        <v>672H</v>
      </c>
      <c r="M426" s="150" t="str">
        <f t="shared" si="31"/>
        <v>C/V - PIECES GARANTIE BMW I</v>
      </c>
      <c r="N426" s="151">
        <f>+IF(OR($Q426=Parametres!$G$2,$Q426=Parametres!$G$3),I426,C426)</f>
        <v>94862.32</v>
      </c>
      <c r="O426" s="151">
        <f>+IF(OR($Q426=Parametres!$G$2,$Q426=Parametres!$G$3),J426,D426)</f>
        <v>3228.66</v>
      </c>
      <c r="P426" s="151">
        <f>+IF(OR($Q426=Parametres!$G$2,$Q426=Parametres!$G$3),K426,E426)</f>
        <v>98090.98</v>
      </c>
      <c r="Q426" s="150" t="str">
        <f t="shared" si="32"/>
        <v>6-Coût des ventes</v>
      </c>
      <c r="R426" s="149" t="str">
        <f t="shared" si="33"/>
        <v>472A</v>
      </c>
      <c r="S426" s="150" t="str">
        <f t="shared" si="34"/>
        <v>_</v>
      </c>
      <c r="T426" s="152" t="str">
        <f>+VLOOKUP($L426,Data_Validation!$A:$D,1,0)</f>
        <v>672H</v>
      </c>
      <c r="U426" s="152" t="str">
        <f>+VLOOKUP($L426,Data_Validation!$A:$D,3,0)</f>
        <v>pièces</v>
      </c>
      <c r="V426" s="152" t="str">
        <f>+VLOOKUP($L426,Data_Validation!$A:$D,4,0)</f>
        <v>P/A Garantie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1714</v>
      </c>
      <c r="B427" s="708" t="s">
        <v>1715</v>
      </c>
      <c r="C427" s="710">
        <v>100051.06</v>
      </c>
      <c r="D427" s="710">
        <v>5750</v>
      </c>
      <c r="E427" s="710">
        <v>105801.06</v>
      </c>
      <c r="F427" s="708" t="s">
        <v>2014</v>
      </c>
      <c r="G427" s="708" t="s">
        <v>625</v>
      </c>
      <c r="H427" s="664" t="s">
        <v>2997</v>
      </c>
      <c r="I427" s="663"/>
      <c r="J427" s="663"/>
      <c r="K427" s="663"/>
      <c r="L427" s="149" t="str">
        <f t="shared" si="30"/>
        <v>630E</v>
      </c>
      <c r="M427" s="150" t="str">
        <f t="shared" si="31"/>
        <v>C/V - PROTEC ESTHETIQUE NAUF BMW AUTO</v>
      </c>
      <c r="N427" s="151">
        <f>+IF(OR($Q427=Parametres!$G$2,$Q427=Parametres!$G$3),I427,C427)</f>
        <v>100051.06</v>
      </c>
      <c r="O427" s="151">
        <f>+IF(OR($Q427=Parametres!$G$2,$Q427=Parametres!$G$3),J427,D427)</f>
        <v>5750</v>
      </c>
      <c r="P427" s="151">
        <f>+IF(OR($Q427=Parametres!$G$2,$Q427=Parametres!$G$3),K427,E427)</f>
        <v>105801.06</v>
      </c>
      <c r="Q427" s="150" t="str">
        <f t="shared" si="32"/>
        <v>6-Coût des ventes</v>
      </c>
      <c r="R427" s="149" t="str">
        <f t="shared" si="33"/>
        <v>430</v>
      </c>
      <c r="S427" s="150" t="str">
        <f t="shared" si="34"/>
        <v>_</v>
      </c>
      <c r="T427" s="152" t="str">
        <f>+VLOOKUP($L427,Data_Validation!$A:$D,1,0)</f>
        <v>630E</v>
      </c>
      <c r="U427" s="152" t="str">
        <f>+VLOOKUP($L427,Data_Validation!$A:$D,3,0)</f>
        <v>Véhicules neufs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2991</v>
      </c>
      <c r="B428" s="708" t="s">
        <v>2993</v>
      </c>
      <c r="C428" s="709">
        <v>103865.74</v>
      </c>
      <c r="D428" s="709">
        <v>85174.86</v>
      </c>
      <c r="E428" s="709">
        <v>189040.6</v>
      </c>
      <c r="F428" s="708" t="s">
        <v>2014</v>
      </c>
      <c r="G428" s="708" t="s">
        <v>3010</v>
      </c>
      <c r="H428" s="709" t="s">
        <v>2997</v>
      </c>
      <c r="I428" s="710"/>
      <c r="J428" s="710"/>
      <c r="K428" s="710"/>
      <c r="L428" s="149" t="str">
        <f t="shared" si="30"/>
        <v>602E</v>
      </c>
      <c r="M428" s="150" t="str">
        <f t="shared" si="31"/>
        <v>IX XDRIVE60</v>
      </c>
      <c r="N428" s="151">
        <f>+IF(OR($Q428=Parametres!$G$2,$Q428=Parametres!$G$3),I428,C428)</f>
        <v>103865.74</v>
      </c>
      <c r="O428" s="151">
        <f>+IF(OR($Q428=Parametres!$G$2,$Q428=Parametres!$G$3),J428,D428)</f>
        <v>85174.86</v>
      </c>
      <c r="P428" s="151">
        <f>+IF(OR($Q428=Parametres!$G$2,$Q428=Parametres!$G$3),K428,E428)</f>
        <v>189040.6</v>
      </c>
      <c r="Q428" s="150" t="str">
        <f t="shared" si="32"/>
        <v>6-Coût des ventes</v>
      </c>
      <c r="R428" s="149" t="str">
        <f t="shared" si="33"/>
        <v>602</v>
      </c>
      <c r="S428" s="150" t="str">
        <f t="shared" si="34"/>
        <v>_</v>
      </c>
      <c r="T428" s="152" t="str">
        <f>+VLOOKUP($L428,Data_Validation!$A:$D,1,0)</f>
        <v>602E</v>
      </c>
      <c r="U428" s="152" t="str">
        <f>+VLOOKUP($L428,Data_Validation!$A:$D,3,0)</f>
        <v>Véhicules neufs</v>
      </c>
      <c r="V428" s="152" t="str">
        <f>+VLOOKUP($L428,Data_Validation!$A:$D,4,0)</f>
        <v>Camions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1427</v>
      </c>
      <c r="B429" s="708" t="s">
        <v>976</v>
      </c>
      <c r="C429" s="710">
        <v>107805.18</v>
      </c>
      <c r="D429" s="710">
        <v>0</v>
      </c>
      <c r="E429" s="710">
        <v>107805.18</v>
      </c>
      <c r="F429" s="708" t="s">
        <v>2014</v>
      </c>
      <c r="G429" s="708" t="s">
        <v>419</v>
      </c>
      <c r="H429" s="664" t="s">
        <v>2997</v>
      </c>
      <c r="I429" s="663"/>
      <c r="J429" s="663"/>
      <c r="K429" s="663"/>
      <c r="L429" s="149" t="str">
        <f t="shared" si="30"/>
        <v>622A</v>
      </c>
      <c r="M429" s="150" t="str">
        <f t="shared" si="31"/>
        <v>C/V - X6 XDRIVE 35I</v>
      </c>
      <c r="N429" s="151">
        <f>+IF(OR($Q429=Parametres!$G$2,$Q429=Parametres!$G$3),I429,C429)</f>
        <v>107805.18</v>
      </c>
      <c r="O429" s="151">
        <f>+IF(OR($Q429=Parametres!$G$2,$Q429=Parametres!$G$3),J429,D429)</f>
        <v>0</v>
      </c>
      <c r="P429" s="151">
        <f>+IF(OR($Q429=Parametres!$G$2,$Q429=Parametres!$G$3),K429,E429)</f>
        <v>107805.18</v>
      </c>
      <c r="Q429" s="150" t="str">
        <f t="shared" si="32"/>
        <v>6-Coût des ventes</v>
      </c>
      <c r="R429" s="149" t="str">
        <f t="shared" si="33"/>
        <v>422A</v>
      </c>
      <c r="S429" s="150" t="str">
        <f t="shared" si="34"/>
        <v>_</v>
      </c>
      <c r="T429" s="152" t="str">
        <f>+VLOOKUP($L429,Data_Validation!$A:$D,1,0)</f>
        <v>622A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1809</v>
      </c>
      <c r="B430" s="708" t="s">
        <v>1810</v>
      </c>
      <c r="C430" s="709">
        <v>110858</v>
      </c>
      <c r="D430" s="709">
        <v>3832</v>
      </c>
      <c r="E430" s="709">
        <v>114690</v>
      </c>
      <c r="F430" s="708" t="s">
        <v>2014</v>
      </c>
      <c r="G430" s="708" t="s">
        <v>625</v>
      </c>
      <c r="H430" s="709" t="s">
        <v>2997</v>
      </c>
      <c r="I430" s="710"/>
      <c r="J430" s="710"/>
      <c r="K430" s="710"/>
      <c r="L430" s="149" t="str">
        <f t="shared" si="30"/>
        <v>630U</v>
      </c>
      <c r="M430" s="150" t="str">
        <f t="shared" si="31"/>
        <v>C/V - ASSIST USURE NEUF BMW AUTO</v>
      </c>
      <c r="N430" s="151">
        <f>+IF(OR($Q430=Parametres!$G$2,$Q430=Parametres!$G$3),I430,C430)</f>
        <v>110858</v>
      </c>
      <c r="O430" s="151">
        <f>+IF(OR($Q430=Parametres!$G$2,$Q430=Parametres!$G$3),J430,D430)</f>
        <v>3832</v>
      </c>
      <c r="P430" s="151">
        <f>+IF(OR($Q430=Parametres!$G$2,$Q430=Parametres!$G$3),K430,E430)</f>
        <v>114690</v>
      </c>
      <c r="Q430" s="150" t="str">
        <f t="shared" si="32"/>
        <v>6-Coût des ventes</v>
      </c>
      <c r="R430" s="149" t="str">
        <f t="shared" si="33"/>
        <v>430</v>
      </c>
      <c r="S430" s="150" t="str">
        <f t="shared" si="34"/>
        <v>_</v>
      </c>
      <c r="T430" s="152" t="str">
        <f>+VLOOKUP($L430,Data_Validation!$A:$D,1,0)</f>
        <v>630U</v>
      </c>
      <c r="U430" s="152" t="str">
        <f>+VLOOKUP($L430,Data_Validation!$A:$D,3,0)</f>
        <v>Véhicules neufs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2474</v>
      </c>
      <c r="B431" s="708" t="s">
        <v>2475</v>
      </c>
      <c r="C431" s="710">
        <v>112887.38</v>
      </c>
      <c r="D431" s="710">
        <v>0</v>
      </c>
      <c r="E431" s="710">
        <v>112887.38</v>
      </c>
      <c r="F431" s="708" t="s">
        <v>2014</v>
      </c>
      <c r="G431" s="708" t="s">
        <v>2471</v>
      </c>
      <c r="H431" s="709" t="s">
        <v>2997</v>
      </c>
      <c r="I431" s="709"/>
      <c r="J431" s="709"/>
      <c r="K431" s="709"/>
      <c r="L431" s="149" t="str">
        <f t="shared" si="30"/>
        <v>605C</v>
      </c>
      <c r="M431" s="150" t="str">
        <f t="shared" si="31"/>
        <v>C/V - i4 eDRIVE35</v>
      </c>
      <c r="N431" s="151">
        <f>+IF(OR($Q431=Parametres!$G$2,$Q431=Parametres!$G$3),I431,C431)</f>
        <v>112887.38</v>
      </c>
      <c r="O431" s="151">
        <f>+IF(OR($Q431=Parametres!$G$2,$Q431=Parametres!$G$3),J431,D431)</f>
        <v>0</v>
      </c>
      <c r="P431" s="151">
        <f>+IF(OR($Q431=Parametres!$G$2,$Q431=Parametres!$G$3),K431,E431)</f>
        <v>112887.38</v>
      </c>
      <c r="Q431" s="150" t="str">
        <f t="shared" si="32"/>
        <v>6-Coût des ventes</v>
      </c>
      <c r="R431" s="149" t="str">
        <f t="shared" si="33"/>
        <v>405C</v>
      </c>
      <c r="S431" s="150" t="str">
        <f t="shared" si="34"/>
        <v>_</v>
      </c>
      <c r="T431" s="152" t="str">
        <f>+VLOOKUP($L431,Data_Validation!$A:$D,1,0)</f>
        <v>605C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2551</v>
      </c>
      <c r="B432" s="708" t="s">
        <v>2552</v>
      </c>
      <c r="C432" s="710">
        <v>117415.96</v>
      </c>
      <c r="D432" s="710">
        <v>0</v>
      </c>
      <c r="E432" s="710">
        <v>117415.96</v>
      </c>
      <c r="F432" s="708" t="s">
        <v>2014</v>
      </c>
      <c r="G432" s="708" t="s">
        <v>2550</v>
      </c>
      <c r="H432" s="664" t="s">
        <v>2997</v>
      </c>
      <c r="I432" s="663"/>
      <c r="J432" s="663"/>
      <c r="K432" s="663"/>
      <c r="L432" s="149" t="str">
        <f t="shared" si="30"/>
        <v>622C</v>
      </c>
      <c r="M432" s="150" t="str">
        <f t="shared" si="31"/>
        <v>C/V - X6 M60i</v>
      </c>
      <c r="N432" s="151">
        <f>+IF(OR($Q432=Parametres!$G$2,$Q432=Parametres!$G$3),I432,C432)</f>
        <v>117415.96</v>
      </c>
      <c r="O432" s="151">
        <f>+IF(OR($Q432=Parametres!$G$2,$Q432=Parametres!$G$3),J432,D432)</f>
        <v>0</v>
      </c>
      <c r="P432" s="151">
        <f>+IF(OR($Q432=Parametres!$G$2,$Q432=Parametres!$G$3),K432,E432)</f>
        <v>117415.96</v>
      </c>
      <c r="Q432" s="150" t="str">
        <f t="shared" si="32"/>
        <v>6-Coût des ventes</v>
      </c>
      <c r="R432" s="149" t="str">
        <f t="shared" si="33"/>
        <v>422C</v>
      </c>
      <c r="S432" s="150" t="str">
        <f t="shared" si="34"/>
        <v>_</v>
      </c>
      <c r="T432" s="152" t="str">
        <f>+VLOOKUP($L432,Data_Validation!$A:$D,1,0)</f>
        <v>622C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2499</v>
      </c>
      <c r="B433" s="708" t="s">
        <v>2500</v>
      </c>
      <c r="C433" s="710">
        <v>120939.22</v>
      </c>
      <c r="D433" s="710">
        <v>0</v>
      </c>
      <c r="E433" s="710">
        <v>120939.22</v>
      </c>
      <c r="F433" s="708" t="s">
        <v>2014</v>
      </c>
      <c r="G433" s="708" t="s">
        <v>2496</v>
      </c>
      <c r="H433" s="664" t="s">
        <v>2997</v>
      </c>
      <c r="I433" s="663"/>
      <c r="J433" s="663"/>
      <c r="K433" s="663"/>
      <c r="L433" s="149" t="str">
        <f t="shared" si="30"/>
        <v>615B</v>
      </c>
      <c r="M433" s="150" t="str">
        <f t="shared" si="31"/>
        <v>C/V - i7 xDRIVE60</v>
      </c>
      <c r="N433" s="151">
        <f>+IF(OR($Q433=Parametres!$G$2,$Q433=Parametres!$G$3),I433,C433)</f>
        <v>120939.22</v>
      </c>
      <c r="O433" s="151">
        <f>+IF(OR($Q433=Parametres!$G$2,$Q433=Parametres!$G$3),J433,D433)</f>
        <v>0</v>
      </c>
      <c r="P433" s="151">
        <f>+IF(OR($Q433=Parametres!$G$2,$Q433=Parametres!$G$3),K433,E433)</f>
        <v>120939.22</v>
      </c>
      <c r="Q433" s="150" t="str">
        <f t="shared" si="32"/>
        <v>6-Coût des ventes</v>
      </c>
      <c r="R433" s="149" t="str">
        <f t="shared" si="33"/>
        <v>415B</v>
      </c>
      <c r="S433" s="150" t="str">
        <f t="shared" si="34"/>
        <v>_</v>
      </c>
      <c r="T433" s="152" t="str">
        <f>+VLOOKUP($L433,Data_Validation!$A:$D,1,0)</f>
        <v>615B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1438</v>
      </c>
      <c r="B434" s="708" t="s">
        <v>978</v>
      </c>
      <c r="C434" s="709">
        <v>133315.57999999999</v>
      </c>
      <c r="D434" s="709">
        <v>0</v>
      </c>
      <c r="E434" s="709">
        <v>133315.57999999999</v>
      </c>
      <c r="F434" s="708" t="s">
        <v>2014</v>
      </c>
      <c r="G434" s="708" t="s">
        <v>411</v>
      </c>
      <c r="H434" s="709" t="s">
        <v>2997</v>
      </c>
      <c r="I434" s="710"/>
      <c r="J434" s="710"/>
      <c r="K434" s="710"/>
      <c r="L434" s="149" t="str">
        <f t="shared" si="30"/>
        <v>650B</v>
      </c>
      <c r="M434" s="150" t="str">
        <f t="shared" si="31"/>
        <v>C/V - M850I XDR CAB</v>
      </c>
      <c r="N434" s="151">
        <f>+IF(OR($Q434=Parametres!$G$2,$Q434=Parametres!$G$3),I434,C434)</f>
        <v>133315.57999999999</v>
      </c>
      <c r="O434" s="151">
        <f>+IF(OR($Q434=Parametres!$G$2,$Q434=Parametres!$G$3),J434,D434)</f>
        <v>0</v>
      </c>
      <c r="P434" s="151">
        <f>+IF(OR($Q434=Parametres!$G$2,$Q434=Parametres!$G$3),K434,E434)</f>
        <v>133315.57999999999</v>
      </c>
      <c r="Q434" s="150" t="str">
        <f t="shared" si="32"/>
        <v>6-Coût des ventes</v>
      </c>
      <c r="R434" s="149" t="str">
        <f t="shared" si="33"/>
        <v>450B</v>
      </c>
      <c r="S434" s="150" t="str">
        <f t="shared" si="34"/>
        <v>_</v>
      </c>
      <c r="T434" s="152" t="str">
        <f>+VLOOKUP($L434,Data_Validation!$A:$D,1,0)</f>
        <v>650B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1803</v>
      </c>
      <c r="B435" s="708" t="s">
        <v>1804</v>
      </c>
      <c r="C435" s="710">
        <v>137382.37</v>
      </c>
      <c r="D435" s="710">
        <v>14630.2</v>
      </c>
      <c r="E435" s="710">
        <v>152012.57</v>
      </c>
      <c r="F435" s="708" t="s">
        <v>2014</v>
      </c>
      <c r="G435" s="708" t="s">
        <v>1120</v>
      </c>
      <c r="H435" s="664" t="s">
        <v>2997</v>
      </c>
      <c r="I435" s="663"/>
      <c r="J435" s="663"/>
      <c r="K435" s="663"/>
      <c r="L435" s="149" t="str">
        <f t="shared" si="30"/>
        <v>670A</v>
      </c>
      <c r="M435" s="150" t="str">
        <f t="shared" si="31"/>
        <v>C/V - PIECES BT CLIENT BMW AUTO</v>
      </c>
      <c r="N435" s="151">
        <f>+IF(OR($Q435=Parametres!$G$2,$Q435=Parametres!$G$3),I435,C435)</f>
        <v>137382.37</v>
      </c>
      <c r="O435" s="151">
        <f>+IF(OR($Q435=Parametres!$G$2,$Q435=Parametres!$G$3),J435,D435)</f>
        <v>14630.2</v>
      </c>
      <c r="P435" s="151">
        <f>+IF(OR($Q435=Parametres!$G$2,$Q435=Parametres!$G$3),K435,E435)</f>
        <v>152012.57</v>
      </c>
      <c r="Q435" s="150" t="str">
        <f t="shared" si="32"/>
        <v>6-Coût des ventes</v>
      </c>
      <c r="R435" s="149" t="str">
        <f t="shared" si="33"/>
        <v>470A</v>
      </c>
      <c r="S435" s="150" t="str">
        <f t="shared" si="34"/>
        <v>_</v>
      </c>
      <c r="T435" s="152" t="str">
        <f>+VLOOKUP($L435,Data_Validation!$A:$D,1,0)</f>
        <v>670A</v>
      </c>
      <c r="U435" s="152" t="str">
        <f>+VLOOKUP($L435,Data_Validation!$A:$D,3,0)</f>
        <v>Pièces</v>
      </c>
      <c r="V435" s="152" t="str">
        <f>+VLOOKUP($L435,Data_Validation!$A:$D,4,0)</f>
        <v>Pièces Ro Clients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1065</v>
      </c>
      <c r="B436" s="708" t="s">
        <v>364</v>
      </c>
      <c r="C436" s="709">
        <v>139848.72</v>
      </c>
      <c r="D436" s="709">
        <v>0</v>
      </c>
      <c r="E436" s="709">
        <v>139848.72</v>
      </c>
      <c r="F436" s="708" t="s">
        <v>2014</v>
      </c>
      <c r="G436" s="708" t="s">
        <v>637</v>
      </c>
      <c r="H436" s="709" t="s">
        <v>2997</v>
      </c>
      <c r="I436" s="710"/>
      <c r="J436" s="710"/>
      <c r="K436" s="710"/>
      <c r="L436" s="149" t="str">
        <f t="shared" si="30"/>
        <v>680</v>
      </c>
      <c r="M436" s="150" t="str">
        <f t="shared" si="31"/>
        <v>C/V - X7 XDR 40I</v>
      </c>
      <c r="N436" s="151">
        <f>+IF(OR($Q436=Parametres!$G$2,$Q436=Parametres!$G$3),I436,C436)</f>
        <v>139848.72</v>
      </c>
      <c r="O436" s="151">
        <f>+IF(OR($Q436=Parametres!$G$2,$Q436=Parametres!$G$3),J436,D436)</f>
        <v>0</v>
      </c>
      <c r="P436" s="151">
        <f>+IF(OR($Q436=Parametres!$G$2,$Q436=Parametres!$G$3),K436,E436)</f>
        <v>139848.72</v>
      </c>
      <c r="Q436" s="150" t="str">
        <f t="shared" si="32"/>
        <v>6-Coût des ventes</v>
      </c>
      <c r="R436" s="149" t="str">
        <f t="shared" si="33"/>
        <v>480</v>
      </c>
      <c r="S436" s="150" t="str">
        <f t="shared" si="34"/>
        <v>_</v>
      </c>
      <c r="T436" s="152" t="str">
        <f>+VLOOKUP($L436,Data_Validation!$A:$D,1,0)</f>
        <v>680</v>
      </c>
      <c r="U436" s="152" t="str">
        <f>+VLOOKUP($L436,Data_Validation!$A:$D,3,0)</f>
        <v>Véhicules neufs</v>
      </c>
      <c r="V436" s="152" t="str">
        <f>+VLOOKUP($L436,Data_Validation!$A:$D,4,0)</f>
        <v>Camions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2054</v>
      </c>
      <c r="B437" s="708" t="s">
        <v>2055</v>
      </c>
      <c r="C437" s="710">
        <v>141308.04</v>
      </c>
      <c r="D437" s="710">
        <v>0</v>
      </c>
      <c r="E437" s="710">
        <v>141308.04</v>
      </c>
      <c r="F437" s="708" t="s">
        <v>2014</v>
      </c>
      <c r="G437" s="708" t="s">
        <v>2052</v>
      </c>
      <c r="H437" s="664" t="s">
        <v>2997</v>
      </c>
      <c r="I437" s="663"/>
      <c r="J437" s="663"/>
      <c r="K437" s="663"/>
      <c r="L437" s="149" t="str">
        <f t="shared" si="30"/>
        <v>605G</v>
      </c>
      <c r="M437" s="150" t="str">
        <f t="shared" si="31"/>
        <v>C/V - M4 COUPE</v>
      </c>
      <c r="N437" s="151">
        <f>+IF(OR($Q437=Parametres!$G$2,$Q437=Parametres!$G$3),I437,C437)</f>
        <v>141308.04</v>
      </c>
      <c r="O437" s="151">
        <f>+IF(OR($Q437=Parametres!$G$2,$Q437=Parametres!$G$3),J437,D437)</f>
        <v>0</v>
      </c>
      <c r="P437" s="151">
        <f>+IF(OR($Q437=Parametres!$G$2,$Q437=Parametres!$G$3),K437,E437)</f>
        <v>141308.04</v>
      </c>
      <c r="Q437" s="150" t="str">
        <f t="shared" si="32"/>
        <v>6-Coût des ventes</v>
      </c>
      <c r="R437" s="149" t="str">
        <f t="shared" si="33"/>
        <v>405G</v>
      </c>
      <c r="S437" s="150" t="str">
        <f t="shared" si="34"/>
        <v>_</v>
      </c>
      <c r="T437" s="152" t="str">
        <f>+VLOOKUP($L437,Data_Validation!$A:$D,1,0)</f>
        <v>605G</v>
      </c>
      <c r="U437" s="152" t="str">
        <f>+VLOOKUP($L437,Data_Validation!$A:$D,3,0)</f>
        <v>Véhicules neufs</v>
      </c>
      <c r="V437" s="152" t="str">
        <f>+VLOOKUP($L437,Data_Validation!$A:$D,4,0)</f>
        <v>Autos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2885</v>
      </c>
      <c r="B438" s="708" t="s">
        <v>2886</v>
      </c>
      <c r="C438" s="709">
        <v>142653.79999999999</v>
      </c>
      <c r="D438" s="709">
        <v>0</v>
      </c>
      <c r="E438" s="709">
        <v>142653.79999999999</v>
      </c>
      <c r="F438" s="708" t="s">
        <v>2014</v>
      </c>
      <c r="G438" s="708" t="s">
        <v>2883</v>
      </c>
      <c r="H438" s="709" t="s">
        <v>2997</v>
      </c>
      <c r="I438" s="710"/>
      <c r="J438" s="710"/>
      <c r="K438" s="710"/>
      <c r="L438" s="149" t="str">
        <f t="shared" si="30"/>
        <v>615A</v>
      </c>
      <c r="M438" s="150" t="str">
        <f t="shared" si="31"/>
        <v>C/V - 750e xDRIVE</v>
      </c>
      <c r="N438" s="151">
        <f>+IF(OR($Q438=Parametres!$G$2,$Q438=Parametres!$G$3),I438,C438)</f>
        <v>142653.79999999999</v>
      </c>
      <c r="O438" s="151">
        <f>+IF(OR($Q438=Parametres!$G$2,$Q438=Parametres!$G$3),J438,D438)</f>
        <v>0</v>
      </c>
      <c r="P438" s="151">
        <f>+IF(OR($Q438=Parametres!$G$2,$Q438=Parametres!$G$3),K438,E438)</f>
        <v>142653.79999999999</v>
      </c>
      <c r="Q438" s="150" t="str">
        <f t="shared" si="32"/>
        <v>6-Coût des ventes</v>
      </c>
      <c r="R438" s="149" t="str">
        <f t="shared" si="33"/>
        <v>415A</v>
      </c>
      <c r="S438" s="150" t="str">
        <f t="shared" si="34"/>
        <v>_</v>
      </c>
      <c r="T438" s="152" t="str">
        <f>+VLOOKUP($L438,Data_Validation!$A:$D,1,0)</f>
        <v>615A</v>
      </c>
      <c r="U438" s="152" t="str">
        <f>+VLOOKUP($L438,Data_Validation!$A:$D,3,0)</f>
        <v>Véhicules neufs</v>
      </c>
      <c r="V438" s="152" t="str">
        <f>+VLOOKUP($L438,Data_Validation!$A:$D,4,0)</f>
        <v>Autos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1831</v>
      </c>
      <c r="B439" s="708" t="s">
        <v>1832</v>
      </c>
      <c r="C439" s="710">
        <v>143154.22</v>
      </c>
      <c r="D439" s="710">
        <v>4471.76</v>
      </c>
      <c r="E439" s="710">
        <v>147625.98000000001</v>
      </c>
      <c r="F439" s="708" t="s">
        <v>2014</v>
      </c>
      <c r="G439" s="708" t="s">
        <v>1096</v>
      </c>
      <c r="H439" s="664" t="s">
        <v>2997</v>
      </c>
      <c r="I439" s="663"/>
      <c r="J439" s="663"/>
      <c r="K439" s="663"/>
      <c r="L439" s="149" t="str">
        <f t="shared" si="30"/>
        <v>672A</v>
      </c>
      <c r="M439" s="150" t="str">
        <f t="shared" si="31"/>
        <v>C/V - PIECES GARANTIE BMW AUTO</v>
      </c>
      <c r="N439" s="151">
        <f>+IF(OR($Q439=Parametres!$G$2,$Q439=Parametres!$G$3),I439,C439)</f>
        <v>143154.22</v>
      </c>
      <c r="O439" s="497">
        <f>+IF(OR($Q439=Parametres!$G$2,$Q439=Parametres!$G$3),J439,D439)</f>
        <v>4471.76</v>
      </c>
      <c r="P439" s="151">
        <f>+IF(OR($Q439=Parametres!$G$2,$Q439=Parametres!$G$3),K439,E439)</f>
        <v>147625.98000000001</v>
      </c>
      <c r="Q439" s="150" t="str">
        <f t="shared" si="32"/>
        <v>6-Coût des ventes</v>
      </c>
      <c r="R439" s="149" t="str">
        <f t="shared" si="33"/>
        <v>472A</v>
      </c>
      <c r="S439" s="150" t="str">
        <f t="shared" si="34"/>
        <v>_</v>
      </c>
      <c r="T439" s="152" t="str">
        <f>+VLOOKUP($L439,Data_Validation!$A:$D,1,0)</f>
        <v>672A</v>
      </c>
      <c r="U439" s="152" t="str">
        <f>+VLOOKUP($L439,Data_Validation!$A:$D,3,0)</f>
        <v>pièces</v>
      </c>
      <c r="V439" s="152" t="str">
        <f>+VLOOKUP($L439,Data_Validation!$A:$D,4,0)</f>
        <v>P/A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2520</v>
      </c>
      <c r="B440" s="708" t="s">
        <v>2521</v>
      </c>
      <c r="C440" s="710">
        <v>150630.07</v>
      </c>
      <c r="D440" s="710">
        <v>0</v>
      </c>
      <c r="E440" s="710">
        <v>150630.07</v>
      </c>
      <c r="F440" s="708" t="s">
        <v>2014</v>
      </c>
      <c r="G440" s="708" t="s">
        <v>2517</v>
      </c>
      <c r="H440" s="664" t="s">
        <v>2997</v>
      </c>
      <c r="I440" s="663"/>
      <c r="J440" s="663"/>
      <c r="K440" s="663"/>
      <c r="L440" s="149" t="str">
        <f t="shared" si="30"/>
        <v>680C</v>
      </c>
      <c r="M440" s="150" t="str">
        <f t="shared" si="31"/>
        <v>C/V - X7 M60i</v>
      </c>
      <c r="N440" s="151">
        <f>+IF(OR($Q440=Parametres!$G$2,$Q440=Parametres!$G$3),I440,C440)</f>
        <v>150630.07</v>
      </c>
      <c r="O440" s="151">
        <f>+IF(OR($Q440=Parametres!$G$2,$Q440=Parametres!$G$3),J440,D440)</f>
        <v>0</v>
      </c>
      <c r="P440" s="151">
        <f>+IF(OR($Q440=Parametres!$G$2,$Q440=Parametres!$G$3),K440,E440)</f>
        <v>150630.07</v>
      </c>
      <c r="Q440" s="150" t="str">
        <f t="shared" si="32"/>
        <v>6-Coût des ventes</v>
      </c>
      <c r="R440" s="149" t="str">
        <f t="shared" si="33"/>
        <v>480C</v>
      </c>
      <c r="S440" s="150" t="str">
        <f t="shared" si="34"/>
        <v>_</v>
      </c>
      <c r="T440" s="152" t="str">
        <f>+VLOOKUP($L440,Data_Validation!$A:$D,1,0)</f>
        <v>680C</v>
      </c>
      <c r="U440" s="152" t="str">
        <f>+VLOOKUP($L440,Data_Validation!$A:$D,3,0)</f>
        <v>Véhicules neufs</v>
      </c>
      <c r="V440" s="152" t="str">
        <f>+VLOOKUP($L440,Data_Validation!$A:$D,4,0)</f>
        <v>Camions détail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2977</v>
      </c>
      <c r="B441" s="708" t="s">
        <v>2978</v>
      </c>
      <c r="C441" s="709">
        <v>156838.5</v>
      </c>
      <c r="D441" s="709">
        <v>0</v>
      </c>
      <c r="E441" s="709">
        <v>156838.5</v>
      </c>
      <c r="F441" s="708" t="s">
        <v>2014</v>
      </c>
      <c r="G441" s="708" t="s">
        <v>2978</v>
      </c>
      <c r="H441" s="709" t="s">
        <v>2997</v>
      </c>
      <c r="I441" s="710"/>
      <c r="J441" s="710"/>
      <c r="K441" s="710"/>
      <c r="L441" s="149" t="str">
        <f t="shared" si="30"/>
        <v>615C</v>
      </c>
      <c r="M441" s="150" t="str">
        <f t="shared" si="31"/>
        <v>C/V - i7 M70 xDRIVE</v>
      </c>
      <c r="N441" s="151">
        <f>+IF(OR($Q441=Parametres!$G$2,$Q441=Parametres!$G$3),I441,C441)</f>
        <v>156838.5</v>
      </c>
      <c r="O441" s="151">
        <f>+IF(OR($Q441=Parametres!$G$2,$Q441=Parametres!$G$3),J441,D441)</f>
        <v>0</v>
      </c>
      <c r="P441" s="151">
        <f>+IF(OR($Q441=Parametres!$G$2,$Q441=Parametres!$G$3),K441,E441)</f>
        <v>156838.5</v>
      </c>
      <c r="Q441" s="150" t="str">
        <f t="shared" si="32"/>
        <v>6-Coût des ventes</v>
      </c>
      <c r="R441" s="149" t="str">
        <f t="shared" si="33"/>
        <v>615C</v>
      </c>
      <c r="S441" s="150" t="str">
        <f t="shared" si="34"/>
        <v>_</v>
      </c>
      <c r="T441" s="152" t="str">
        <f>+VLOOKUP($L441,Data_Validation!$A:$D,1,0)</f>
        <v>615C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2532</v>
      </c>
      <c r="B442" s="708" t="s">
        <v>2533</v>
      </c>
      <c r="C442" s="710">
        <v>186689.24</v>
      </c>
      <c r="D442" s="710">
        <v>0</v>
      </c>
      <c r="E442" s="710">
        <v>186689.24</v>
      </c>
      <c r="F442" s="708" t="s">
        <v>2014</v>
      </c>
      <c r="G442" s="708" t="s">
        <v>3011</v>
      </c>
      <c r="H442" s="664" t="s">
        <v>2997</v>
      </c>
      <c r="I442" s="663"/>
      <c r="J442" s="663"/>
      <c r="K442" s="663"/>
      <c r="L442" s="149" t="str">
        <f t="shared" si="30"/>
        <v>624E</v>
      </c>
      <c r="M442" s="150" t="str">
        <f t="shared" si="31"/>
        <v>C/V - i5 M60 xDRIVE</v>
      </c>
      <c r="N442" s="151">
        <f>+IF(OR($Q442=Parametres!$G$2,$Q442=Parametres!$G$3),I442,C442)</f>
        <v>186689.24</v>
      </c>
      <c r="O442" s="151">
        <f>+IF(OR($Q442=Parametres!$G$2,$Q442=Parametres!$G$3),J442,D442)</f>
        <v>0</v>
      </c>
      <c r="P442" s="151">
        <f>+IF(OR($Q442=Parametres!$G$2,$Q442=Parametres!$G$3),K442,E442)</f>
        <v>186689.24</v>
      </c>
      <c r="Q442" s="150" t="str">
        <f t="shared" si="32"/>
        <v>6-Coût des ventes</v>
      </c>
      <c r="R442" s="149" t="str">
        <f t="shared" si="33"/>
        <v>404E</v>
      </c>
      <c r="S442" s="150" t="str">
        <f t="shared" si="34"/>
        <v>_</v>
      </c>
      <c r="T442" s="152" t="str">
        <f>+VLOOKUP($L442,Data_Validation!$A:$D,1,0)</f>
        <v>624E</v>
      </c>
      <c r="U442" s="152" t="str">
        <f>+VLOOKUP($L442,Data_Validation!$A:$D,3,0)</f>
        <v>Véhicules neufs</v>
      </c>
      <c r="V442" s="152" t="str">
        <f>+VLOOKUP($L442,Data_Validation!$A:$D,4,0)</f>
        <v>Autos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1784</v>
      </c>
      <c r="B443" s="708" t="s">
        <v>960</v>
      </c>
      <c r="C443" s="710">
        <v>193614.59</v>
      </c>
      <c r="D443" s="710">
        <v>25940.89</v>
      </c>
      <c r="E443" s="710">
        <v>219555.48</v>
      </c>
      <c r="F443" s="708" t="s">
        <v>2014</v>
      </c>
      <c r="G443" s="708" t="s">
        <v>1120</v>
      </c>
      <c r="H443" s="664" t="s">
        <v>2997</v>
      </c>
      <c r="I443" s="663"/>
      <c r="J443" s="663"/>
      <c r="K443" s="663"/>
      <c r="L443" s="149" t="str">
        <f t="shared" si="30"/>
        <v>670B</v>
      </c>
      <c r="M443" s="150" t="str">
        <f t="shared" si="31"/>
        <v>C/V - PIECES BT CLIENT BMW CAMION</v>
      </c>
      <c r="N443" s="151">
        <f>+IF(OR($Q443=Parametres!$G$2,$Q443=Parametres!$G$3),I443,C443)</f>
        <v>193614.59</v>
      </c>
      <c r="O443" s="151">
        <f>+IF(OR($Q443=Parametres!$G$2,$Q443=Parametres!$G$3),J443,D443)</f>
        <v>25940.89</v>
      </c>
      <c r="P443" s="151">
        <f>+IF(OR($Q443=Parametres!$G$2,$Q443=Parametres!$G$3),K443,E443)</f>
        <v>219555.48</v>
      </c>
      <c r="Q443" s="150" t="str">
        <f t="shared" si="32"/>
        <v>6-Coût des ventes</v>
      </c>
      <c r="R443" s="149" t="str">
        <f t="shared" si="33"/>
        <v>470A</v>
      </c>
      <c r="S443" s="150" t="str">
        <f t="shared" si="34"/>
        <v>_</v>
      </c>
      <c r="T443" s="152" t="str">
        <f>+VLOOKUP($L443,Data_Validation!$A:$D,1,0)</f>
        <v>670B</v>
      </c>
      <c r="U443" s="152" t="str">
        <f>+VLOOKUP($L443,Data_Validation!$A:$D,3,0)</f>
        <v>Pièces</v>
      </c>
      <c r="V443" s="152" t="str">
        <f>+VLOOKUP($L443,Data_Validation!$A:$D,4,0)</f>
        <v>Pièces Ro Clients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1608</v>
      </c>
      <c r="B444" s="708" t="s">
        <v>980</v>
      </c>
      <c r="C444" s="710">
        <v>203932.95</v>
      </c>
      <c r="D444" s="710">
        <v>0</v>
      </c>
      <c r="E444" s="710">
        <v>203932.95</v>
      </c>
      <c r="F444" s="708" t="s">
        <v>2014</v>
      </c>
      <c r="G444" s="708" t="s">
        <v>616</v>
      </c>
      <c r="H444" s="664" t="s">
        <v>2997</v>
      </c>
      <c r="I444" s="663"/>
      <c r="J444" s="663"/>
      <c r="K444" s="663"/>
      <c r="L444" s="149" t="str">
        <f t="shared" si="30"/>
        <v>618A</v>
      </c>
      <c r="M444" s="150" t="str">
        <f t="shared" si="31"/>
        <v>C/V - AUTRES MODELES BMW CAMION</v>
      </c>
      <c r="N444" s="151">
        <f>+IF(OR($Q444=Parametres!$G$2,$Q444=Parametres!$G$3),I444,C444)</f>
        <v>203932.95</v>
      </c>
      <c r="O444" s="151">
        <f>+IF(OR($Q444=Parametres!$G$2,$Q444=Parametres!$G$3),J444,D444)</f>
        <v>0</v>
      </c>
      <c r="P444" s="151">
        <f>+IF(OR($Q444=Parametres!$G$2,$Q444=Parametres!$G$3),K444,E444)</f>
        <v>203932.95</v>
      </c>
      <c r="Q444" s="150" t="str">
        <f t="shared" si="32"/>
        <v>6-Coût des ventes</v>
      </c>
      <c r="R444" s="149" t="str">
        <f t="shared" si="33"/>
        <v>418</v>
      </c>
      <c r="S444" s="150" t="str">
        <f t="shared" si="34"/>
        <v>_</v>
      </c>
      <c r="T444" s="152" t="str">
        <f>+VLOOKUP($L444,Data_Validation!$A:$D,1,0)</f>
        <v>618A</v>
      </c>
      <c r="U444" s="152" t="str">
        <f>+VLOOKUP($L444,Data_Validation!$A:$D,3,0)</f>
        <v>Véhicules neufs</v>
      </c>
      <c r="V444" s="152" t="str">
        <f>+VLOOKUP($L444,Data_Validation!$A:$D,4,0)</f>
        <v>Ex-Démos et courtoisies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1826</v>
      </c>
      <c r="B445" s="708" t="s">
        <v>841</v>
      </c>
      <c r="C445" s="709">
        <v>217432.5</v>
      </c>
      <c r="D445" s="709">
        <v>15346.67</v>
      </c>
      <c r="E445" s="709">
        <v>232779.17</v>
      </c>
      <c r="F445" s="708" t="s">
        <v>2014</v>
      </c>
      <c r="G445" s="708" t="s">
        <v>1096</v>
      </c>
      <c r="H445" s="709" t="s">
        <v>2997</v>
      </c>
      <c r="I445" s="710"/>
      <c r="J445" s="710"/>
      <c r="K445" s="710"/>
      <c r="L445" s="149" t="str">
        <f t="shared" si="30"/>
        <v>672B</v>
      </c>
      <c r="M445" s="150" t="str">
        <f t="shared" si="31"/>
        <v>C/V - PIECES GARANTIE BMW CAMION</v>
      </c>
      <c r="N445" s="151">
        <f>+IF(OR($Q445=Parametres!$G$2,$Q445=Parametres!$G$3),I445,C445)</f>
        <v>217432.5</v>
      </c>
      <c r="O445" s="151">
        <f>+IF(OR($Q445=Parametres!$G$2,$Q445=Parametres!$G$3),J445,D445)</f>
        <v>15346.67</v>
      </c>
      <c r="P445" s="151">
        <f>+IF(OR($Q445=Parametres!$G$2,$Q445=Parametres!$G$3),K445,E445)</f>
        <v>232779.17</v>
      </c>
      <c r="Q445" s="150" t="str">
        <f t="shared" si="32"/>
        <v>6-Coût des ventes</v>
      </c>
      <c r="R445" s="149" t="str">
        <f t="shared" si="33"/>
        <v>472A</v>
      </c>
      <c r="S445" s="150" t="str">
        <f t="shared" si="34"/>
        <v>_</v>
      </c>
      <c r="T445" s="152" t="str">
        <f>+VLOOKUP($L445,Data_Validation!$A:$D,1,0)</f>
        <v>672B</v>
      </c>
      <c r="U445" s="152" t="str">
        <f>+VLOOKUP($L445,Data_Validation!$A:$D,3,0)</f>
        <v>pièces</v>
      </c>
      <c r="V445" s="152" t="str">
        <f>+VLOOKUP($L445,Data_Validation!$A:$D,4,0)</f>
        <v>P/A Garantie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2904</v>
      </c>
      <c r="B446" s="708" t="s">
        <v>2905</v>
      </c>
      <c r="C446" s="710">
        <v>226826.41</v>
      </c>
      <c r="D446" s="710">
        <v>0</v>
      </c>
      <c r="E446" s="710">
        <v>226826.41</v>
      </c>
      <c r="F446" s="708" t="s">
        <v>2014</v>
      </c>
      <c r="G446" s="708" t="s">
        <v>2903</v>
      </c>
      <c r="H446" s="664" t="s">
        <v>2997</v>
      </c>
      <c r="I446" s="663"/>
      <c r="J446" s="663"/>
      <c r="K446" s="663"/>
      <c r="L446" s="149" t="str">
        <f t="shared" si="30"/>
        <v>604J</v>
      </c>
      <c r="M446" s="150" t="str">
        <f t="shared" si="31"/>
        <v>C/V - i4 xDRIVE40</v>
      </c>
      <c r="N446" s="151">
        <f>+IF(OR($Q446=Parametres!$G$2,$Q446=Parametres!$G$3),I446,C446)</f>
        <v>226826.41</v>
      </c>
      <c r="O446" s="151">
        <f>+IF(OR($Q446=Parametres!$G$2,$Q446=Parametres!$G$3),J446,D446)</f>
        <v>0</v>
      </c>
      <c r="P446" s="151">
        <f>+IF(OR($Q446=Parametres!$G$2,$Q446=Parametres!$G$3),K446,E446)</f>
        <v>226826.41</v>
      </c>
      <c r="Q446" s="150" t="str">
        <f t="shared" si="32"/>
        <v>6-Coût des ventes</v>
      </c>
      <c r="R446" s="149" t="str">
        <f t="shared" si="33"/>
        <v>404J</v>
      </c>
      <c r="S446" s="150" t="str">
        <f t="shared" si="34"/>
        <v>_</v>
      </c>
      <c r="T446" s="152" t="str">
        <f>+VLOOKUP($L446,Data_Validation!$A:$D,1,0)</f>
        <v>604J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2147</v>
      </c>
      <c r="B447" s="708" t="s">
        <v>2148</v>
      </c>
      <c r="C447" s="710">
        <v>226978.41</v>
      </c>
      <c r="D447" s="710">
        <v>0</v>
      </c>
      <c r="E447" s="710">
        <v>226978.41</v>
      </c>
      <c r="F447" s="708" t="s">
        <v>2014</v>
      </c>
      <c r="G447" s="708" t="s">
        <v>2144</v>
      </c>
      <c r="H447" s="664" t="s">
        <v>2997</v>
      </c>
      <c r="I447" s="664"/>
      <c r="J447" s="664"/>
      <c r="K447" s="664"/>
      <c r="L447" s="149" t="str">
        <f t="shared" si="30"/>
        <v>605J</v>
      </c>
      <c r="M447" s="150" t="str">
        <f t="shared" si="31"/>
        <v>C/V - M4 COMPETITION</v>
      </c>
      <c r="N447" s="151">
        <f>+IF(OR($Q447=Parametres!$G$2,$Q447=Parametres!$G$3),I447,C447)</f>
        <v>226978.41</v>
      </c>
      <c r="O447" s="151">
        <f>+IF(OR($Q447=Parametres!$G$2,$Q447=Parametres!$G$3),J447,D447)</f>
        <v>0</v>
      </c>
      <c r="P447" s="151">
        <f>+IF(OR($Q447=Parametres!$G$2,$Q447=Parametres!$G$3),K447,E447)</f>
        <v>226978.41</v>
      </c>
      <c r="Q447" s="150" t="str">
        <f t="shared" si="32"/>
        <v>6-Coût des ventes</v>
      </c>
      <c r="R447" s="149" t="str">
        <f t="shared" si="33"/>
        <v>405J</v>
      </c>
      <c r="S447" s="150" t="str">
        <f t="shared" si="34"/>
        <v>_</v>
      </c>
      <c r="T447" s="152" t="str">
        <f>+VLOOKUP($L447,Data_Validation!$A:$D,1,0)</f>
        <v>605J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2366</v>
      </c>
      <c r="B448" s="708" t="s">
        <v>2367</v>
      </c>
      <c r="C448" s="710">
        <v>253385.13</v>
      </c>
      <c r="D448" s="710">
        <v>0</v>
      </c>
      <c r="E448" s="710">
        <v>253385.13</v>
      </c>
      <c r="F448" s="708" t="s">
        <v>2014</v>
      </c>
      <c r="G448" s="708" t="s">
        <v>2362</v>
      </c>
      <c r="H448" s="664" t="s">
        <v>2997</v>
      </c>
      <c r="I448" s="663"/>
      <c r="J448" s="663"/>
      <c r="K448" s="663"/>
      <c r="L448" s="149" t="str">
        <f t="shared" si="30"/>
        <v>605H</v>
      </c>
      <c r="M448" s="150" t="str">
        <f t="shared" si="31"/>
        <v>C/V - M4 COMPETITION CABRIOLET XDRIVE</v>
      </c>
      <c r="N448" s="151">
        <f>+IF(OR($Q448=Parametres!$G$2,$Q448=Parametres!$G$3),I448,C448)</f>
        <v>253385.13</v>
      </c>
      <c r="O448" s="151">
        <f>+IF(OR($Q448=Parametres!$G$2,$Q448=Parametres!$G$3),J448,D448)</f>
        <v>0</v>
      </c>
      <c r="P448" s="151">
        <f>+IF(OR($Q448=Parametres!$G$2,$Q448=Parametres!$G$3),K448,E448)</f>
        <v>253385.13</v>
      </c>
      <c r="Q448" s="150" t="str">
        <f t="shared" si="32"/>
        <v>6-Coût des ventes</v>
      </c>
      <c r="R448" s="149" t="str">
        <f t="shared" si="33"/>
        <v>405H</v>
      </c>
      <c r="S448" s="150" t="str">
        <f t="shared" si="34"/>
        <v>_</v>
      </c>
      <c r="T448" s="152" t="str">
        <f>+VLOOKUP($L448,Data_Validation!$A:$D,1,0)</f>
        <v>605H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1019</v>
      </c>
      <c r="B449" s="708" t="s">
        <v>649</v>
      </c>
      <c r="C449" s="710">
        <v>259576.7</v>
      </c>
      <c r="D449" s="710">
        <v>0</v>
      </c>
      <c r="E449" s="710">
        <v>259576.7</v>
      </c>
      <c r="F449" s="708" t="s">
        <v>2014</v>
      </c>
      <c r="G449" s="708" t="s">
        <v>612</v>
      </c>
      <c r="H449" s="664" t="s">
        <v>2997</v>
      </c>
      <c r="I449" s="663"/>
      <c r="J449" s="663"/>
      <c r="K449" s="663"/>
      <c r="L449" s="149" t="str">
        <f t="shared" si="30"/>
        <v>611C</v>
      </c>
      <c r="M449" s="150" t="str">
        <f t="shared" si="31"/>
        <v>C/V - 330I XDRIVE SEDAN</v>
      </c>
      <c r="N449" s="151">
        <f>+IF(OR($Q449=Parametres!$G$2,$Q449=Parametres!$G$3),I449,C449)</f>
        <v>259576.7</v>
      </c>
      <c r="O449" s="151">
        <f>+IF(OR($Q449=Parametres!$G$2,$Q449=Parametres!$G$3),J449,D449)</f>
        <v>0</v>
      </c>
      <c r="P449" s="151">
        <f>+IF(OR($Q449=Parametres!$G$2,$Q449=Parametres!$G$3),K449,E449)</f>
        <v>259576.7</v>
      </c>
      <c r="Q449" s="150" t="str">
        <f t="shared" si="32"/>
        <v>6-Coût des ventes</v>
      </c>
      <c r="R449" s="149" t="str">
        <f t="shared" si="33"/>
        <v>411C</v>
      </c>
      <c r="S449" s="150" t="str">
        <f t="shared" si="34"/>
        <v>_</v>
      </c>
      <c r="T449" s="152" t="str">
        <f>+VLOOKUP($L449,Data_Validation!$A:$D,1,0)</f>
        <v>611C</v>
      </c>
      <c r="U449" s="152" t="str">
        <f>+VLOOKUP($L449,Data_Validation!$A:$D,3,0)</f>
        <v>Véhicules neufs</v>
      </c>
      <c r="V449" s="152" t="str">
        <f>+VLOOKUP($L449,Data_Validation!$A:$D,4,0)</f>
        <v>Autos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671</v>
      </c>
      <c r="B450" s="708" t="s">
        <v>672</v>
      </c>
      <c r="C450" s="710">
        <v>270668.71000000002</v>
      </c>
      <c r="D450" s="710">
        <v>0</v>
      </c>
      <c r="E450" s="710">
        <v>270668.71000000002</v>
      </c>
      <c r="F450" s="708" t="s">
        <v>2014</v>
      </c>
      <c r="G450" s="708" t="s">
        <v>633</v>
      </c>
      <c r="H450" s="664" t="s">
        <v>2997</v>
      </c>
      <c r="I450" s="663"/>
      <c r="J450" s="663"/>
      <c r="K450" s="663"/>
      <c r="L450" s="149" t="str">
        <f t="shared" ref="L450:L513" si="35">+B450</f>
        <v>652B</v>
      </c>
      <c r="M450" s="150" t="str">
        <f t="shared" ref="M450:M513" si="36">+A450</f>
        <v>C/V - Z4 M40I</v>
      </c>
      <c r="N450" s="151">
        <f>+IF(OR($Q450=Parametres!$G$2,$Q450=Parametres!$G$3),I450,C450)</f>
        <v>270668.71000000002</v>
      </c>
      <c r="O450" s="151">
        <f>+IF(OR($Q450=Parametres!$G$2,$Q450=Parametres!$G$3),J450,D450)</f>
        <v>0</v>
      </c>
      <c r="P450" s="151">
        <f>+IF(OR($Q450=Parametres!$G$2,$Q450=Parametres!$G$3),K450,E450)</f>
        <v>270668.71000000002</v>
      </c>
      <c r="Q450" s="150" t="str">
        <f t="shared" ref="Q450:Q513" si="37">+F450</f>
        <v>6-Coût des ventes</v>
      </c>
      <c r="R450" s="149" t="str">
        <f t="shared" ref="R450:R513" si="38">+G450</f>
        <v>452B</v>
      </c>
      <c r="S450" s="150" t="str">
        <f t="shared" ref="S450:S513" si="39">+H450</f>
        <v>_</v>
      </c>
      <c r="T450" s="152" t="str">
        <f>+VLOOKUP($L450,Data_Validation!$A:$D,1,0)</f>
        <v>652B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2530</v>
      </c>
      <c r="B451" s="708" t="s">
        <v>2531</v>
      </c>
      <c r="C451" s="710">
        <v>274520.88</v>
      </c>
      <c r="D451" s="710">
        <v>68385.97</v>
      </c>
      <c r="E451" s="710">
        <v>342906.85</v>
      </c>
      <c r="F451" s="708" t="s">
        <v>2014</v>
      </c>
      <c r="G451" s="708" t="s">
        <v>2527</v>
      </c>
      <c r="H451" s="664" t="s">
        <v>2997</v>
      </c>
      <c r="I451" s="663"/>
      <c r="J451" s="663"/>
      <c r="K451" s="663"/>
      <c r="L451" s="149" t="str">
        <f t="shared" si="35"/>
        <v>616A</v>
      </c>
      <c r="M451" s="150" t="str">
        <f t="shared" si="36"/>
        <v>C/V - X1 M35i xDRIVE</v>
      </c>
      <c r="N451" s="151">
        <f>+IF(OR($Q451=Parametres!$G$2,$Q451=Parametres!$G$3),I451,C451)</f>
        <v>274520.88</v>
      </c>
      <c r="O451" s="151">
        <f>+IF(OR($Q451=Parametres!$G$2,$Q451=Parametres!$G$3),J451,D451)</f>
        <v>68385.97</v>
      </c>
      <c r="P451" s="151">
        <f>+IF(OR($Q451=Parametres!$G$2,$Q451=Parametres!$G$3),K451,E451)</f>
        <v>342906.85</v>
      </c>
      <c r="Q451" s="150" t="str">
        <f t="shared" si="37"/>
        <v>6-Coût des ventes</v>
      </c>
      <c r="R451" s="149" t="str">
        <f t="shared" si="38"/>
        <v>416A</v>
      </c>
      <c r="S451" s="150" t="str">
        <f t="shared" si="39"/>
        <v>_</v>
      </c>
      <c r="T451" s="152" t="str">
        <f>+VLOOKUP($L451,Data_Validation!$A:$D,1,0)</f>
        <v>616A</v>
      </c>
      <c r="U451" s="152" t="str">
        <f>+VLOOKUP($L451,Data_Validation!$A:$D,3,0)</f>
        <v>Véhicules neufs</v>
      </c>
      <c r="V451" s="152" t="str">
        <f>+VLOOKUP($L451,Data_Validation!$A:$D,4,0)</f>
        <v>Camions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2346</v>
      </c>
      <c r="B452" s="708" t="s">
        <v>2347</v>
      </c>
      <c r="C452" s="709">
        <v>276951.62</v>
      </c>
      <c r="D452" s="709">
        <v>0</v>
      </c>
      <c r="E452" s="709">
        <v>276951.62</v>
      </c>
      <c r="F452" s="708" t="s">
        <v>2014</v>
      </c>
      <c r="G452" s="708" t="s">
        <v>2341</v>
      </c>
      <c r="H452" s="709" t="s">
        <v>2997</v>
      </c>
      <c r="I452" s="710"/>
      <c r="J452" s="710"/>
      <c r="K452" s="710"/>
      <c r="L452" s="149" t="str">
        <f t="shared" si="35"/>
        <v>602B</v>
      </c>
      <c r="M452" s="150" t="str">
        <f t="shared" si="36"/>
        <v>C/V - IX XDRIVE 50</v>
      </c>
      <c r="N452" s="151">
        <f>+IF(OR($Q452=Parametres!$G$2,$Q452=Parametres!$G$3),I452,C452)</f>
        <v>276951.62</v>
      </c>
      <c r="O452" s="151">
        <f>+IF(OR($Q452=Parametres!$G$2,$Q452=Parametres!$G$3),J452,D452)</f>
        <v>0</v>
      </c>
      <c r="P452" s="151">
        <f>+IF(OR($Q452=Parametres!$G$2,$Q452=Parametres!$G$3),K452,E452)</f>
        <v>276951.62</v>
      </c>
      <c r="Q452" s="150" t="str">
        <f t="shared" si="37"/>
        <v>6-Coût des ventes</v>
      </c>
      <c r="R452" s="149" t="str">
        <f t="shared" si="38"/>
        <v>402B</v>
      </c>
      <c r="S452" s="150" t="str">
        <f t="shared" si="39"/>
        <v>_</v>
      </c>
      <c r="T452" s="152" t="str">
        <f>+VLOOKUP($L452,Data_Validation!$A:$D,1,0)</f>
        <v>602B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667</v>
      </c>
      <c r="B453" s="708" t="s">
        <v>668</v>
      </c>
      <c r="C453" s="710">
        <v>312061.53999999998</v>
      </c>
      <c r="D453" s="710">
        <v>0</v>
      </c>
      <c r="E453" s="710">
        <v>312061.53999999998</v>
      </c>
      <c r="F453" s="708" t="s">
        <v>2014</v>
      </c>
      <c r="G453" s="708" t="s">
        <v>629</v>
      </c>
      <c r="H453" s="664" t="s">
        <v>2997</v>
      </c>
      <c r="I453" s="663"/>
      <c r="J453" s="663"/>
      <c r="K453" s="663"/>
      <c r="L453" s="149" t="str">
        <f t="shared" si="35"/>
        <v>647</v>
      </c>
      <c r="M453" s="150" t="str">
        <f t="shared" si="36"/>
        <v>C/V - X5 M</v>
      </c>
      <c r="N453" s="151">
        <f>+IF(OR($Q453=Parametres!$G$2,$Q453=Parametres!$G$3),I453,C453)</f>
        <v>312061.53999999998</v>
      </c>
      <c r="O453" s="151">
        <f>+IF(OR($Q453=Parametres!$G$2,$Q453=Parametres!$G$3),J453,D453)</f>
        <v>0</v>
      </c>
      <c r="P453" s="151">
        <f>+IF(OR($Q453=Parametres!$G$2,$Q453=Parametres!$G$3),K453,E453)</f>
        <v>312061.53999999998</v>
      </c>
      <c r="Q453" s="150" t="str">
        <f t="shared" si="37"/>
        <v>6-Coût des ventes</v>
      </c>
      <c r="R453" s="149" t="str">
        <f t="shared" si="38"/>
        <v>447</v>
      </c>
      <c r="S453" s="150" t="str">
        <f t="shared" si="39"/>
        <v>_</v>
      </c>
      <c r="T453" s="152" t="str">
        <f>+VLOOKUP($L453,Data_Validation!$A:$D,1,0)</f>
        <v>647</v>
      </c>
      <c r="U453" s="152" t="str">
        <f>+VLOOKUP($L453,Data_Validation!$A:$D,3,0)</f>
        <v>Véhicules neufs</v>
      </c>
      <c r="V453" s="152" t="str">
        <f>+VLOOKUP($L453,Data_Validation!$A:$D,4,0)</f>
        <v>Camions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2035</v>
      </c>
      <c r="B454" s="708" t="s">
        <v>2036</v>
      </c>
      <c r="C454" s="710">
        <v>330036.84999999998</v>
      </c>
      <c r="D454" s="710">
        <v>110094.06</v>
      </c>
      <c r="E454" s="710">
        <v>440130.91</v>
      </c>
      <c r="F454" s="708" t="s">
        <v>2014</v>
      </c>
      <c r="G454" s="708" t="s">
        <v>2030</v>
      </c>
      <c r="H454" s="664" t="s">
        <v>2997</v>
      </c>
      <c r="I454" s="663"/>
      <c r="J454" s="663"/>
      <c r="K454" s="663"/>
      <c r="L454" s="149" t="str">
        <f t="shared" si="35"/>
        <v>607C</v>
      </c>
      <c r="M454" s="150" t="str">
        <f t="shared" si="36"/>
        <v>C/V - M3 COMPETITION</v>
      </c>
      <c r="N454" s="151">
        <f>+IF(OR($Q454=Parametres!$G$2,$Q454=Parametres!$G$3),I454,C454)</f>
        <v>330036.84999999998</v>
      </c>
      <c r="O454" s="151">
        <f>+IF(OR($Q454=Parametres!$G$2,$Q454=Parametres!$G$3),J454,D454)</f>
        <v>110094.06</v>
      </c>
      <c r="P454" s="151">
        <f>+IF(OR($Q454=Parametres!$G$2,$Q454=Parametres!$G$3),K454,E454)</f>
        <v>440130.91</v>
      </c>
      <c r="Q454" s="150" t="str">
        <f t="shared" si="37"/>
        <v>6-Coût des ventes</v>
      </c>
      <c r="R454" s="149" t="str">
        <f t="shared" si="38"/>
        <v>407C</v>
      </c>
      <c r="S454" s="150" t="str">
        <f t="shared" si="39"/>
        <v>_</v>
      </c>
      <c r="T454" s="152" t="str">
        <f>+VLOOKUP($L454,Data_Validation!$A:$D,1,0)</f>
        <v>607C</v>
      </c>
      <c r="U454" s="152" t="str">
        <f>+VLOOKUP($L454,Data_Validation!$A:$D,3,0)</f>
        <v>Véhicules neufs</v>
      </c>
      <c r="V454" s="152" t="str">
        <f>+VLOOKUP($L454,Data_Validation!$A:$D,4,0)</f>
        <v>Autos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2350</v>
      </c>
      <c r="B455" s="662" t="s">
        <v>2351</v>
      </c>
      <c r="C455" s="663">
        <v>342524.24</v>
      </c>
      <c r="D455" s="663">
        <v>0</v>
      </c>
      <c r="E455" s="663">
        <v>342524.24</v>
      </c>
      <c r="F455" s="662" t="s">
        <v>2014</v>
      </c>
      <c r="G455" s="662" t="s">
        <v>2345</v>
      </c>
      <c r="H455" s="657" t="s">
        <v>2997</v>
      </c>
      <c r="I455" s="656"/>
      <c r="J455" s="656"/>
      <c r="K455" s="656"/>
      <c r="L455" s="149" t="str">
        <f t="shared" si="35"/>
        <v>604I</v>
      </c>
      <c r="M455" s="150" t="str">
        <f t="shared" si="36"/>
        <v>C/V - i4 eDRIVE40 GRAN COUPE</v>
      </c>
      <c r="N455" s="151">
        <f>+IF(OR($Q455=Parametres!$G$2,$Q455=Parametres!$G$3),I455,C455)</f>
        <v>342524.24</v>
      </c>
      <c r="O455" s="151">
        <f>+IF(OR($Q455=Parametres!$G$2,$Q455=Parametres!$G$3),J455,D455)</f>
        <v>0</v>
      </c>
      <c r="P455" s="151">
        <f>+IF(OR($Q455=Parametres!$G$2,$Q455=Parametres!$G$3),K455,E455)</f>
        <v>342524.24</v>
      </c>
      <c r="Q455" s="150" t="str">
        <f t="shared" si="37"/>
        <v>6-Coût des ventes</v>
      </c>
      <c r="R455" s="149" t="str">
        <f t="shared" si="38"/>
        <v>404I</v>
      </c>
      <c r="S455" s="150" t="str">
        <f t="shared" si="39"/>
        <v>_</v>
      </c>
      <c r="T455" s="152" t="str">
        <f>+VLOOKUP($L455,Data_Validation!$A:$D,1,0)</f>
        <v>604I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2864</v>
      </c>
      <c r="B456" s="708" t="s">
        <v>2866</v>
      </c>
      <c r="C456" s="710">
        <v>352125.53</v>
      </c>
      <c r="D456" s="710">
        <v>0</v>
      </c>
      <c r="E456" s="710">
        <v>352125.53</v>
      </c>
      <c r="F456" s="708" t="s">
        <v>2014</v>
      </c>
      <c r="G456" s="708" t="s">
        <v>2865</v>
      </c>
      <c r="H456" s="664" t="s">
        <v>2997</v>
      </c>
      <c r="I456" s="663"/>
      <c r="J456" s="663"/>
      <c r="K456" s="663"/>
      <c r="L456" s="149" t="str">
        <f t="shared" si="35"/>
        <v>609A</v>
      </c>
      <c r="M456" s="150" t="str">
        <f t="shared" si="36"/>
        <v>X2 M35I XDRIVE</v>
      </c>
      <c r="N456" s="151">
        <f>+IF(OR($Q456=Parametres!$G$2,$Q456=Parametres!$G$3),I456,C456)</f>
        <v>352125.53</v>
      </c>
      <c r="O456" s="497">
        <f>+IF(OR($Q456=Parametres!$G$2,$Q456=Parametres!$G$3),J456,D456)</f>
        <v>0</v>
      </c>
      <c r="P456" s="151">
        <f>+IF(OR($Q456=Parametres!$G$2,$Q456=Parametres!$G$3),K456,E456)</f>
        <v>352125.53</v>
      </c>
      <c r="Q456" s="150" t="str">
        <f t="shared" si="37"/>
        <v>6-Coût des ventes</v>
      </c>
      <c r="R456" s="149" t="str">
        <f t="shared" si="38"/>
        <v>409A</v>
      </c>
      <c r="S456" s="150" t="str">
        <f t="shared" si="39"/>
        <v>_</v>
      </c>
      <c r="T456" s="152" t="str">
        <f>+VLOOKUP($L456,Data_Validation!$A:$D,1,0)</f>
        <v>609A</v>
      </c>
      <c r="U456" s="152" t="str">
        <f>+VLOOKUP($L456,Data_Validation!$A:$D,3,0)</f>
        <v>Véhicules neufs</v>
      </c>
      <c r="V456" s="152" t="str">
        <f>+VLOOKUP($L456,Data_Validation!$A:$D,4,0)</f>
        <v>Camions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1978</v>
      </c>
      <c r="B457" s="708" t="s">
        <v>1980</v>
      </c>
      <c r="C457" s="710">
        <v>386090.15</v>
      </c>
      <c r="D457" s="710">
        <v>0</v>
      </c>
      <c r="E457" s="710">
        <v>386090.15</v>
      </c>
      <c r="F457" s="708" t="s">
        <v>2014</v>
      </c>
      <c r="G457" s="708" t="s">
        <v>1979</v>
      </c>
      <c r="H457" s="664" t="s">
        <v>2997</v>
      </c>
      <c r="I457" s="663"/>
      <c r="J457" s="663"/>
      <c r="K457" s="663"/>
      <c r="L457" s="149" t="str">
        <f t="shared" si="35"/>
        <v>612C</v>
      </c>
      <c r="M457" s="150" t="str">
        <f t="shared" si="36"/>
        <v>M340I XDRIVE</v>
      </c>
      <c r="N457" s="151">
        <f>+IF(OR($Q457=Parametres!$G$2,$Q457=Parametres!$G$3),I457,C457)</f>
        <v>386090.15</v>
      </c>
      <c r="O457" s="151">
        <f>+IF(OR($Q457=Parametres!$G$2,$Q457=Parametres!$G$3),J457,D457)</f>
        <v>0</v>
      </c>
      <c r="P457" s="151">
        <f>+IF(OR($Q457=Parametres!$G$2,$Q457=Parametres!$G$3),K457,E457)</f>
        <v>386090.15</v>
      </c>
      <c r="Q457" s="150" t="str">
        <f t="shared" si="37"/>
        <v>6-Coût des ventes</v>
      </c>
      <c r="R457" s="149" t="str">
        <f t="shared" si="38"/>
        <v>412C</v>
      </c>
      <c r="S457" s="150" t="str">
        <f t="shared" si="39"/>
        <v>_</v>
      </c>
      <c r="T457" s="152" t="str">
        <f>+VLOOKUP($L457,Data_Validation!$A:$D,1,0)</f>
        <v>612C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1680</v>
      </c>
      <c r="B458" s="708" t="s">
        <v>1681</v>
      </c>
      <c r="C458" s="710">
        <v>420533.95</v>
      </c>
      <c r="D458" s="710">
        <v>39672.17</v>
      </c>
      <c r="E458" s="710">
        <v>460206.12</v>
      </c>
      <c r="F458" s="708" t="s">
        <v>2014</v>
      </c>
      <c r="G458" s="708" t="s">
        <v>1167</v>
      </c>
      <c r="H458" s="664" t="s">
        <v>2997</v>
      </c>
      <c r="I458" s="663"/>
      <c r="J458" s="663"/>
      <c r="K458" s="663"/>
      <c r="L458" s="149" t="str">
        <f t="shared" si="35"/>
        <v>675A</v>
      </c>
      <c r="M458" s="150" t="str">
        <f t="shared" si="36"/>
        <v>C/V - PIECES GROS BMW AUTO</v>
      </c>
      <c r="N458" s="151">
        <f>+IF(OR($Q458=Parametres!$G$2,$Q458=Parametres!$G$3),I458,C458)</f>
        <v>420533.95</v>
      </c>
      <c r="O458" s="151">
        <f>+IF(OR($Q458=Parametres!$G$2,$Q458=Parametres!$G$3),J458,D458)</f>
        <v>39672.17</v>
      </c>
      <c r="P458" s="151">
        <f>+IF(OR($Q458=Parametres!$G$2,$Q458=Parametres!$G$3),K458,E458)</f>
        <v>460206.12</v>
      </c>
      <c r="Q458" s="150" t="str">
        <f t="shared" si="37"/>
        <v>6-Coût des ventes</v>
      </c>
      <c r="R458" s="149" t="str">
        <f t="shared" si="38"/>
        <v>475A</v>
      </c>
      <c r="S458" s="150" t="str">
        <f t="shared" si="39"/>
        <v>_</v>
      </c>
      <c r="T458" s="152" t="str">
        <f>+VLOOKUP($L458,Data_Validation!$A:$D,1,0)</f>
        <v>675A</v>
      </c>
      <c r="U458" s="152" t="str">
        <f>+VLOOKUP($L458,Data_Validation!$A:$D,3,0)</f>
        <v>pièces</v>
      </c>
      <c r="V458" s="152" t="str">
        <f>+VLOOKUP($L458,Data_Validation!$A:$D,4,0)</f>
        <v>Ventes de Gros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2875</v>
      </c>
      <c r="B459" s="708" t="s">
        <v>2877</v>
      </c>
      <c r="C459" s="709">
        <v>433625.72</v>
      </c>
      <c r="D459" s="709">
        <v>130748.97</v>
      </c>
      <c r="E459" s="709">
        <v>564374.68999999994</v>
      </c>
      <c r="F459" s="708" t="s">
        <v>2014</v>
      </c>
      <c r="G459" s="708" t="s">
        <v>2876</v>
      </c>
      <c r="H459" s="709" t="s">
        <v>2997</v>
      </c>
      <c r="I459" s="710"/>
      <c r="J459" s="710"/>
      <c r="K459" s="710"/>
      <c r="L459" s="149" t="str">
        <f t="shared" si="35"/>
        <v>609</v>
      </c>
      <c r="M459" s="150" t="str">
        <f t="shared" si="36"/>
        <v>X2 XDRIVE28I</v>
      </c>
      <c r="N459" s="151">
        <f>+IF(OR($Q459=Parametres!$G$2,$Q459=Parametres!$G$3),I459,C459)</f>
        <v>433625.72</v>
      </c>
      <c r="O459" s="151">
        <f>+IF(OR($Q459=Parametres!$G$2,$Q459=Parametres!$G$3),J459,D459)</f>
        <v>130748.97</v>
      </c>
      <c r="P459" s="151">
        <f>+IF(OR($Q459=Parametres!$G$2,$Q459=Parametres!$G$3),K459,E459)</f>
        <v>564374.68999999994</v>
      </c>
      <c r="Q459" s="150" t="str">
        <f t="shared" si="37"/>
        <v>6-Coût des ventes</v>
      </c>
      <c r="R459" s="149" t="str">
        <f t="shared" si="38"/>
        <v>409</v>
      </c>
      <c r="S459" s="150" t="str">
        <f t="shared" si="39"/>
        <v>_</v>
      </c>
      <c r="T459" s="152" t="str">
        <f>+VLOOKUP($L459,Data_Validation!$A:$D,1,0)</f>
        <v>609</v>
      </c>
      <c r="U459" s="152" t="str">
        <f>+VLOOKUP($L459,Data_Validation!$A:$D,3,0)</f>
        <v>Véhicules neufs</v>
      </c>
      <c r="V459" s="152" t="str">
        <f>+VLOOKUP($L459,Data_Validation!$A:$D,4,0)</f>
        <v>Camions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2348</v>
      </c>
      <c r="B460" s="708" t="s">
        <v>2349</v>
      </c>
      <c r="C460" s="709">
        <v>435633.38</v>
      </c>
      <c r="D460" s="709">
        <v>0</v>
      </c>
      <c r="E460" s="709">
        <v>435633.38</v>
      </c>
      <c r="F460" s="708" t="s">
        <v>2014</v>
      </c>
      <c r="G460" s="708" t="s">
        <v>2343</v>
      </c>
      <c r="H460" s="709" t="s">
        <v>2997</v>
      </c>
      <c r="I460" s="710"/>
      <c r="J460" s="710"/>
      <c r="K460" s="710"/>
      <c r="L460" s="149" t="str">
        <f t="shared" si="35"/>
        <v>603I</v>
      </c>
      <c r="M460" s="150" t="str">
        <f t="shared" si="36"/>
        <v>C/V - i4 M50i XDRIVE GRAN COUPE</v>
      </c>
      <c r="N460" s="151">
        <f>+IF(OR($Q460=Parametres!$G$2,$Q460=Parametres!$G$3),I460,C460)</f>
        <v>435633.38</v>
      </c>
      <c r="O460" s="151">
        <f>+IF(OR($Q460=Parametres!$G$2,$Q460=Parametres!$G$3),J460,D460)</f>
        <v>0</v>
      </c>
      <c r="P460" s="151">
        <f>+IF(OR($Q460=Parametres!$G$2,$Q460=Parametres!$G$3),K460,E460)</f>
        <v>435633.38</v>
      </c>
      <c r="Q460" s="150" t="str">
        <f t="shared" si="37"/>
        <v>6-Coût des ventes</v>
      </c>
      <c r="R460" s="149" t="str">
        <f t="shared" si="38"/>
        <v>403I</v>
      </c>
      <c r="S460" s="150" t="str">
        <f t="shared" si="39"/>
        <v>_</v>
      </c>
      <c r="T460" s="152" t="str">
        <f>+VLOOKUP($L460,Data_Validation!$A:$D,1,0)</f>
        <v>603I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1986</v>
      </c>
      <c r="B461" s="708" t="s">
        <v>1987</v>
      </c>
      <c r="C461" s="709">
        <v>462104.21</v>
      </c>
      <c r="D461" s="709">
        <v>0</v>
      </c>
      <c r="E461" s="709">
        <v>462104.21</v>
      </c>
      <c r="F461" s="708" t="s">
        <v>2014</v>
      </c>
      <c r="G461" s="708" t="s">
        <v>1983</v>
      </c>
      <c r="H461" s="709" t="s">
        <v>2997</v>
      </c>
      <c r="I461" s="710"/>
      <c r="J461" s="710"/>
      <c r="K461" s="710"/>
      <c r="L461" s="149" t="str">
        <f t="shared" si="35"/>
        <v>605K</v>
      </c>
      <c r="M461" s="150" t="str">
        <f t="shared" si="36"/>
        <v>C/V - M440I XDR COUPE</v>
      </c>
      <c r="N461" s="151">
        <f>+IF(OR($Q461=Parametres!$G$2,$Q461=Parametres!$G$3),I461,C461)</f>
        <v>462104.21</v>
      </c>
      <c r="O461" s="151">
        <f>+IF(OR($Q461=Parametres!$G$2,$Q461=Parametres!$G$3),J461,D461)</f>
        <v>0</v>
      </c>
      <c r="P461" s="151">
        <f>+IF(OR($Q461=Parametres!$G$2,$Q461=Parametres!$G$3),K461,E461)</f>
        <v>462104.21</v>
      </c>
      <c r="Q461" s="150" t="str">
        <f t="shared" si="37"/>
        <v>6-Coût des ventes</v>
      </c>
      <c r="R461" s="149" t="str">
        <f t="shared" si="38"/>
        <v>405K</v>
      </c>
      <c r="S461" s="150" t="str">
        <f t="shared" si="39"/>
        <v>_</v>
      </c>
      <c r="T461" s="152" t="str">
        <f>+VLOOKUP($L461,Data_Validation!$A:$D,1,0)</f>
        <v>605K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970</v>
      </c>
      <c r="B462" s="708" t="s">
        <v>972</v>
      </c>
      <c r="C462" s="710">
        <v>501137.87</v>
      </c>
      <c r="D462" s="710">
        <v>154766.54</v>
      </c>
      <c r="E462" s="710">
        <v>655904.41</v>
      </c>
      <c r="F462" s="708" t="s">
        <v>2014</v>
      </c>
      <c r="G462" s="708" t="s">
        <v>417</v>
      </c>
      <c r="H462" s="664" t="s">
        <v>2997</v>
      </c>
      <c r="I462" s="663"/>
      <c r="J462" s="663"/>
      <c r="K462" s="663"/>
      <c r="L462" s="149" t="str">
        <f t="shared" si="35"/>
        <v>688A</v>
      </c>
      <c r="M462" s="150" t="str">
        <f t="shared" si="36"/>
        <v>C/V - PNEUS</v>
      </c>
      <c r="N462" s="151">
        <f>+IF(OR($Q462=Parametres!$G$2,$Q462=Parametres!$G$3),I462,C462)</f>
        <v>501137.87</v>
      </c>
      <c r="O462" s="151">
        <f>+IF(OR($Q462=Parametres!$G$2,$Q462=Parametres!$G$3),J462,D462)</f>
        <v>154766.54</v>
      </c>
      <c r="P462" s="151">
        <f>+IF(OR($Q462=Parametres!$G$2,$Q462=Parametres!$G$3),K462,E462)</f>
        <v>655904.41</v>
      </c>
      <c r="Q462" s="150" t="str">
        <f t="shared" si="37"/>
        <v>6-Coût des ventes</v>
      </c>
      <c r="R462" s="149" t="str">
        <f t="shared" si="38"/>
        <v>488A</v>
      </c>
      <c r="S462" s="150" t="str">
        <f t="shared" si="39"/>
        <v>_</v>
      </c>
      <c r="T462" s="152" t="str">
        <f>+VLOOKUP($L462,Data_Validation!$A:$D,1,0)</f>
        <v>688A</v>
      </c>
      <c r="U462" s="152" t="str">
        <f>+VLOOKUP($L462,Data_Validation!$A:$D,3,0)</f>
        <v>pièces</v>
      </c>
      <c r="V462" s="152" t="str">
        <f>+VLOOKUP($L462,Data_Validation!$A:$D,4,0)</f>
        <v>Ventes Pneus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2880</v>
      </c>
      <c r="B463" s="708" t="s">
        <v>2884</v>
      </c>
      <c r="C463" s="710">
        <v>552010.16</v>
      </c>
      <c r="D463" s="710">
        <v>0</v>
      </c>
      <c r="E463" s="710">
        <v>552010.16</v>
      </c>
      <c r="F463" s="708" t="s">
        <v>2014</v>
      </c>
      <c r="G463" s="708" t="s">
        <v>2884</v>
      </c>
      <c r="H463" s="664" t="s">
        <v>2997</v>
      </c>
      <c r="I463" s="663"/>
      <c r="J463" s="663"/>
      <c r="K463" s="663"/>
      <c r="L463" s="149" t="str">
        <f t="shared" si="35"/>
        <v>605L</v>
      </c>
      <c r="M463" s="150" t="str">
        <f t="shared" si="36"/>
        <v>M440I XDRIVE CABRIOLET</v>
      </c>
      <c r="N463" s="151">
        <f>+IF(OR($Q463=Parametres!$G$2,$Q463=Parametres!$G$3),I463,C463)</f>
        <v>552010.16</v>
      </c>
      <c r="O463" s="151">
        <f>+IF(OR($Q463=Parametres!$G$2,$Q463=Parametres!$G$3),J463,D463)</f>
        <v>0</v>
      </c>
      <c r="P463" s="151">
        <f>+IF(OR($Q463=Parametres!$G$2,$Q463=Parametres!$G$3),K463,E463)</f>
        <v>552010.16</v>
      </c>
      <c r="Q463" s="150" t="str">
        <f t="shared" si="37"/>
        <v>6-Coût des ventes</v>
      </c>
      <c r="R463" s="149" t="str">
        <f t="shared" si="38"/>
        <v>605L</v>
      </c>
      <c r="S463" s="150" t="str">
        <f t="shared" si="39"/>
        <v>_</v>
      </c>
      <c r="T463" s="152" t="str">
        <f>+VLOOKUP($L463,Data_Validation!$A:$D,1,0)</f>
        <v>605L</v>
      </c>
      <c r="U463" s="152" t="str">
        <f>+VLOOKUP($L463,Data_Validation!$A:$D,3,0)</f>
        <v>Véhicules neufs</v>
      </c>
      <c r="V463" s="152" t="str">
        <f>+VLOOKUP($L463,Data_Validation!$A:$D,4,0)</f>
        <v>Autos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2964</v>
      </c>
      <c r="B464" s="708" t="s">
        <v>2966</v>
      </c>
      <c r="C464" s="710">
        <v>566906.99</v>
      </c>
      <c r="D464" s="710">
        <v>181414.82</v>
      </c>
      <c r="E464" s="710">
        <v>748321.81</v>
      </c>
      <c r="F464" s="708" t="s">
        <v>2014</v>
      </c>
      <c r="G464" s="708" t="s">
        <v>2965</v>
      </c>
      <c r="H464" s="664" t="s">
        <v>2997</v>
      </c>
      <c r="I464" s="663"/>
      <c r="J464" s="663"/>
      <c r="K464" s="663"/>
      <c r="L464" s="149" t="str">
        <f t="shared" si="35"/>
        <v>609C</v>
      </c>
      <c r="M464" s="150" t="str">
        <f t="shared" si="36"/>
        <v>X3 M50 XDRIVE</v>
      </c>
      <c r="N464" s="151">
        <f>+IF(OR($Q464=Parametres!$G$2,$Q464=Parametres!$G$3),I464,C464)</f>
        <v>566906.99</v>
      </c>
      <c r="O464" s="151">
        <f>+IF(OR($Q464=Parametres!$G$2,$Q464=Parametres!$G$3),J464,D464)</f>
        <v>181414.82</v>
      </c>
      <c r="P464" s="151">
        <f>+IF(OR($Q464=Parametres!$G$2,$Q464=Parametres!$G$3),K464,E464)</f>
        <v>748321.81</v>
      </c>
      <c r="Q464" s="150" t="str">
        <f t="shared" si="37"/>
        <v>6-Coût des ventes</v>
      </c>
      <c r="R464" s="149" t="str">
        <f t="shared" si="38"/>
        <v>409C</v>
      </c>
      <c r="S464" s="150" t="str">
        <f t="shared" si="39"/>
        <v>_</v>
      </c>
      <c r="T464" s="152" t="str">
        <f>+VLOOKUP($L464,Data_Validation!$A:$D,1,0)</f>
        <v>609C</v>
      </c>
      <c r="U464" s="152" t="str">
        <f>+VLOOKUP($L464,Data_Validation!$A:$D,3,0)</f>
        <v>Véhicules neufs</v>
      </c>
      <c r="V464" s="152" t="str">
        <f>+VLOOKUP($L464,Data_Validation!$A:$D,4,0)</f>
        <v>Camions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1871</v>
      </c>
      <c r="B465" s="708" t="s">
        <v>373</v>
      </c>
      <c r="C465" s="709">
        <v>592400.5</v>
      </c>
      <c r="D465" s="709">
        <v>0</v>
      </c>
      <c r="E465" s="709">
        <v>592400.5</v>
      </c>
      <c r="F465" s="708" t="s">
        <v>2014</v>
      </c>
      <c r="G465" s="708" t="s">
        <v>625</v>
      </c>
      <c r="H465" s="709" t="s">
        <v>2997</v>
      </c>
      <c r="I465" s="710"/>
      <c r="J465" s="710"/>
      <c r="K465" s="710"/>
      <c r="L465" s="149" t="str">
        <f t="shared" si="35"/>
        <v>630</v>
      </c>
      <c r="M465" s="150" t="str">
        <f t="shared" si="36"/>
        <v>C/V - M5 SEDAN</v>
      </c>
      <c r="N465" s="151">
        <f>+IF(OR($Q465=Parametres!$G$2,$Q465=Parametres!$G$3),I465,C465)</f>
        <v>592400.5</v>
      </c>
      <c r="O465" s="151">
        <f>+IF(OR($Q465=Parametres!$G$2,$Q465=Parametres!$G$3),J465,D465)</f>
        <v>0</v>
      </c>
      <c r="P465" s="151">
        <f>+IF(OR($Q465=Parametres!$G$2,$Q465=Parametres!$G$3),K465,E465)</f>
        <v>592400.5</v>
      </c>
      <c r="Q465" s="150" t="str">
        <f t="shared" si="37"/>
        <v>6-Coût des ventes</v>
      </c>
      <c r="R465" s="149" t="str">
        <f t="shared" si="38"/>
        <v>430</v>
      </c>
      <c r="S465" s="150" t="str">
        <f t="shared" si="39"/>
        <v>_</v>
      </c>
      <c r="T465" s="152" t="str">
        <f>+VLOOKUP($L465,Data_Validation!$A:$D,1,0)</f>
        <v>630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2056</v>
      </c>
      <c r="B466" s="708" t="s">
        <v>2057</v>
      </c>
      <c r="C466" s="709">
        <v>648560.39</v>
      </c>
      <c r="D466" s="709">
        <v>0</v>
      </c>
      <c r="E466" s="709">
        <v>648560.39</v>
      </c>
      <c r="F466" s="708" t="s">
        <v>2014</v>
      </c>
      <c r="G466" s="708" t="s">
        <v>2011</v>
      </c>
      <c r="H466" s="709" t="s">
        <v>2997</v>
      </c>
      <c r="I466" s="710"/>
      <c r="J466" s="710"/>
      <c r="K466" s="710"/>
      <c r="L466" s="149" t="str">
        <f t="shared" si="35"/>
        <v>632</v>
      </c>
      <c r="M466" s="150" t="str">
        <f t="shared" si="36"/>
        <v>C/V - 530E XDRIVE</v>
      </c>
      <c r="N466" s="151">
        <f>+IF(OR($Q466=Parametres!$G$2,$Q466=Parametres!$G$3),I466,C466)</f>
        <v>648560.39</v>
      </c>
      <c r="O466" s="151">
        <f>+IF(OR($Q466=Parametres!$G$2,$Q466=Parametres!$G$3),J466,D466)</f>
        <v>0</v>
      </c>
      <c r="P466" s="151">
        <f>+IF(OR($Q466=Parametres!$G$2,$Q466=Parametres!$G$3),K466,E466)</f>
        <v>648560.39</v>
      </c>
      <c r="Q466" s="150" t="str">
        <f t="shared" si="37"/>
        <v>6-Coût des ventes</v>
      </c>
      <c r="R466" s="149" t="str">
        <f t="shared" si="38"/>
        <v>432</v>
      </c>
      <c r="S466" s="150" t="str">
        <f t="shared" si="39"/>
        <v>_</v>
      </c>
      <c r="T466" s="152" t="str">
        <f>+VLOOKUP($L466,Data_Validation!$A:$D,1,0)</f>
        <v>632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2487</v>
      </c>
      <c r="B467" s="708" t="s">
        <v>2488</v>
      </c>
      <c r="C467" s="710">
        <v>765278.93</v>
      </c>
      <c r="D467" s="710">
        <v>0</v>
      </c>
      <c r="E467" s="710">
        <v>765278.93</v>
      </c>
      <c r="F467" s="708" t="s">
        <v>2014</v>
      </c>
      <c r="G467" s="708" t="s">
        <v>2486</v>
      </c>
      <c r="H467" s="664" t="s">
        <v>2997</v>
      </c>
      <c r="I467" s="663"/>
      <c r="J467" s="663"/>
      <c r="K467" s="663"/>
      <c r="L467" s="149" t="str">
        <f t="shared" si="35"/>
        <v>623F</v>
      </c>
      <c r="M467" s="150" t="str">
        <f t="shared" si="36"/>
        <v>C/V - X5 xDRIVE50e</v>
      </c>
      <c r="N467" s="151">
        <f>+IF(OR($Q467=Parametres!$G$2,$Q467=Parametres!$G$3),I467,C467)</f>
        <v>765278.93</v>
      </c>
      <c r="O467" s="151">
        <f>+IF(OR($Q467=Parametres!$G$2,$Q467=Parametres!$G$3),J467,D467)</f>
        <v>0</v>
      </c>
      <c r="P467" s="151">
        <f>+IF(OR($Q467=Parametres!$G$2,$Q467=Parametres!$G$3),K467,E467)</f>
        <v>765278.93</v>
      </c>
      <c r="Q467" s="150" t="str">
        <f t="shared" si="37"/>
        <v>6-Coût des ventes</v>
      </c>
      <c r="R467" s="149" t="str">
        <f t="shared" si="38"/>
        <v>423F</v>
      </c>
      <c r="S467" s="150" t="str">
        <f t="shared" si="39"/>
        <v>_</v>
      </c>
      <c r="T467" s="152" t="str">
        <f>+VLOOKUP($L467,Data_Validation!$A:$D,1,0)</f>
        <v>623F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1437</v>
      </c>
      <c r="B468" s="708" t="s">
        <v>986</v>
      </c>
      <c r="C468" s="710">
        <v>837840.36</v>
      </c>
      <c r="D468" s="710">
        <v>42572.5</v>
      </c>
      <c r="E468" s="710">
        <v>880412.86</v>
      </c>
      <c r="F468" s="708" t="s">
        <v>2014</v>
      </c>
      <c r="G468" s="708" t="s">
        <v>400</v>
      </c>
      <c r="H468" s="664" t="s">
        <v>2997</v>
      </c>
      <c r="I468" s="663"/>
      <c r="J468" s="663"/>
      <c r="K468" s="663"/>
      <c r="L468" s="149" t="str">
        <f t="shared" si="35"/>
        <v>648</v>
      </c>
      <c r="M468" s="150" t="str">
        <f t="shared" si="36"/>
        <v>C/V - RACHAT LOCATION BMW</v>
      </c>
      <c r="N468" s="151">
        <f>+IF(OR($Q468=Parametres!$G$2,$Q468=Parametres!$G$3),I468,C468)</f>
        <v>837840.36</v>
      </c>
      <c r="O468" s="151">
        <f>+IF(OR($Q468=Parametres!$G$2,$Q468=Parametres!$G$3),J468,D468)</f>
        <v>42572.5</v>
      </c>
      <c r="P468" s="151">
        <f>+IF(OR($Q468=Parametres!$G$2,$Q468=Parametres!$G$3),K468,E468)</f>
        <v>880412.86</v>
      </c>
      <c r="Q468" s="150" t="str">
        <f t="shared" si="37"/>
        <v>6-Coût des ventes</v>
      </c>
      <c r="R468" s="149" t="str">
        <f t="shared" si="38"/>
        <v>448</v>
      </c>
      <c r="S468" s="150" t="str">
        <f t="shared" si="39"/>
        <v>_</v>
      </c>
      <c r="T468" s="152" t="str">
        <f>+VLOOKUP($L468,Data_Validation!$A:$D,1,0)</f>
        <v>648</v>
      </c>
      <c r="U468" s="152" t="str">
        <f>+VLOOKUP($L468,Data_Validation!$A:$D,3,0)</f>
        <v>Véhicules neufs</v>
      </c>
      <c r="V468" s="152" t="str">
        <f>+VLOOKUP($L468,Data_Validation!$A:$D,4,0)</f>
        <v>Rachat bail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1435</v>
      </c>
      <c r="B469" s="708" t="s">
        <v>975</v>
      </c>
      <c r="C469" s="710">
        <v>890202.14</v>
      </c>
      <c r="D469" s="710">
        <v>50513.37</v>
      </c>
      <c r="E469" s="710">
        <v>940715.51</v>
      </c>
      <c r="F469" s="708" t="s">
        <v>2014</v>
      </c>
      <c r="G469" s="708" t="s">
        <v>416</v>
      </c>
      <c r="H469" s="664" t="s">
        <v>2997</v>
      </c>
      <c r="I469" s="663"/>
      <c r="J469" s="663"/>
      <c r="K469" s="663"/>
      <c r="L469" s="149" t="str">
        <f t="shared" si="35"/>
        <v>640B</v>
      </c>
      <c r="M469" s="150" t="str">
        <f t="shared" si="36"/>
        <v>C/V - USAGE BMW AUTO NON-CERT</v>
      </c>
      <c r="N469" s="151">
        <f>+IF(OR($Q469=Parametres!$G$2,$Q469=Parametres!$G$3),I469,C469)</f>
        <v>890202.14</v>
      </c>
      <c r="O469" s="151">
        <f>+IF(OR($Q469=Parametres!$G$2,$Q469=Parametres!$G$3),J469,D469)</f>
        <v>50513.37</v>
      </c>
      <c r="P469" s="151">
        <f>+IF(OR($Q469=Parametres!$G$2,$Q469=Parametres!$G$3),K469,E469)</f>
        <v>940715.51</v>
      </c>
      <c r="Q469" s="150" t="str">
        <f t="shared" si="37"/>
        <v>6-Coût des ventes</v>
      </c>
      <c r="R469" s="149" t="str">
        <f t="shared" si="38"/>
        <v>440B</v>
      </c>
      <c r="S469" s="150" t="str">
        <f t="shared" si="39"/>
        <v>_</v>
      </c>
      <c r="T469" s="152" t="str">
        <f>+VLOOKUP($L469,Data_Validation!$A:$D,1,0)</f>
        <v>640B</v>
      </c>
      <c r="U469" s="152" t="str">
        <f>+VLOOKUP($L469,Data_Validation!$A:$D,3,0)</f>
        <v>Véhicules usagés</v>
      </c>
      <c r="V469" s="152" t="str">
        <f>+VLOOKUP($L469,Data_Validation!$A:$D,4,0)</f>
        <v>Non Certifié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1836</v>
      </c>
      <c r="B470" s="708" t="s">
        <v>982</v>
      </c>
      <c r="C470" s="709">
        <v>920138.96</v>
      </c>
      <c r="D470" s="709">
        <v>233832.67</v>
      </c>
      <c r="E470" s="709">
        <v>1153971.6299999999</v>
      </c>
      <c r="F470" s="708" t="s">
        <v>2014</v>
      </c>
      <c r="G470" s="708" t="s">
        <v>404</v>
      </c>
      <c r="H470" s="709" t="s">
        <v>2997</v>
      </c>
      <c r="I470" s="710"/>
      <c r="J470" s="710"/>
      <c r="K470" s="710"/>
      <c r="L470" s="149" t="str">
        <f t="shared" si="35"/>
        <v>646B</v>
      </c>
      <c r="M470" s="150" t="str">
        <f t="shared" si="36"/>
        <v>C/V - USAGE BMW CAMION NON-CERT</v>
      </c>
      <c r="N470" s="151">
        <f>+IF(OR($Q470=Parametres!$G$2,$Q470=Parametres!$G$3),I470,C470)</f>
        <v>920138.96</v>
      </c>
      <c r="O470" s="151">
        <f>+IF(OR($Q470=Parametres!$G$2,$Q470=Parametres!$G$3),J470,D470)</f>
        <v>233832.67</v>
      </c>
      <c r="P470" s="151">
        <f>+IF(OR($Q470=Parametres!$G$2,$Q470=Parametres!$G$3),K470,E470)</f>
        <v>1153971.6299999999</v>
      </c>
      <c r="Q470" s="150" t="str">
        <f t="shared" si="37"/>
        <v>6-Coût des ventes</v>
      </c>
      <c r="R470" s="149" t="str">
        <f t="shared" si="38"/>
        <v>446B</v>
      </c>
      <c r="S470" s="150" t="str">
        <f t="shared" si="39"/>
        <v>_</v>
      </c>
      <c r="T470" s="152" t="str">
        <f>+VLOOKUP($L470,Data_Validation!$A:$D,1,0)</f>
        <v>646B</v>
      </c>
      <c r="U470" s="152" t="str">
        <f>+VLOOKUP($L470,Data_Validation!$A:$D,3,0)</f>
        <v>Véhicules usagés</v>
      </c>
      <c r="V470" s="152" t="str">
        <f>+VLOOKUP($L470,Data_Validation!$A:$D,4,0)</f>
        <v>Non Certifié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1848</v>
      </c>
      <c r="B471" s="708" t="s">
        <v>656</v>
      </c>
      <c r="C471" s="710">
        <v>965709.52</v>
      </c>
      <c r="D471" s="710">
        <v>100414.68</v>
      </c>
      <c r="E471" s="710">
        <v>1066124.2</v>
      </c>
      <c r="F471" s="708" t="s">
        <v>2014</v>
      </c>
      <c r="G471" s="708" t="s">
        <v>618</v>
      </c>
      <c r="H471" s="709" t="s">
        <v>2997</v>
      </c>
      <c r="I471" s="709"/>
      <c r="J471" s="709"/>
      <c r="K471" s="709"/>
      <c r="L471" s="149" t="str">
        <f t="shared" si="35"/>
        <v>623D</v>
      </c>
      <c r="M471" s="150" t="str">
        <f t="shared" si="36"/>
        <v>C/V - X5 XDRIVE 35I/ X5 XDRIVE 40I</v>
      </c>
      <c r="N471" s="151">
        <f>+IF(OR($Q471=Parametres!$G$2,$Q471=Parametres!$G$3),I471,C471)</f>
        <v>965709.52</v>
      </c>
      <c r="O471" s="151">
        <f>+IF(OR($Q471=Parametres!$G$2,$Q471=Parametres!$G$3),J471,D471)</f>
        <v>100414.68</v>
      </c>
      <c r="P471" s="151">
        <f>+IF(OR($Q471=Parametres!$G$2,$Q471=Parametres!$G$3),K471,E471)</f>
        <v>1066124.2</v>
      </c>
      <c r="Q471" s="150" t="str">
        <f t="shared" si="37"/>
        <v>6-Coût des ventes</v>
      </c>
      <c r="R471" s="149" t="str">
        <f t="shared" si="38"/>
        <v>423D</v>
      </c>
      <c r="S471" s="150" t="str">
        <f t="shared" si="39"/>
        <v>_</v>
      </c>
      <c r="T471" s="152" t="str">
        <f>+VLOOKUP($L471,Data_Validation!$A:$D,1,0)</f>
        <v>623D</v>
      </c>
      <c r="U471" s="152" t="str">
        <f>+VLOOKUP($L471,Data_Validation!$A:$D,3,0)</f>
        <v>Véhicules neufs</v>
      </c>
      <c r="V471" s="152" t="str">
        <f>+VLOOKUP($L471,Data_Validation!$A:$D,4,0)</f>
        <v>Camions détail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1852</v>
      </c>
      <c r="B472" s="708" t="s">
        <v>1853</v>
      </c>
      <c r="C472" s="709">
        <v>971403.58</v>
      </c>
      <c r="D472" s="709">
        <v>252790.53</v>
      </c>
      <c r="E472" s="709">
        <v>1224194.1100000001</v>
      </c>
      <c r="F472" s="708" t="s">
        <v>2014</v>
      </c>
      <c r="G472" s="708" t="s">
        <v>1072</v>
      </c>
      <c r="H472" s="709" t="s">
        <v>2997</v>
      </c>
      <c r="I472" s="710"/>
      <c r="J472" s="710"/>
      <c r="K472" s="710"/>
      <c r="L472" s="149" t="str">
        <f t="shared" si="35"/>
        <v>644A</v>
      </c>
      <c r="M472" s="150" t="str">
        <f t="shared" si="36"/>
        <v>C/V - GROS BMW AUTO</v>
      </c>
      <c r="N472" s="151">
        <f>+IF(OR($Q472=Parametres!$G$2,$Q472=Parametres!$G$3),I472,C472)</f>
        <v>971403.58</v>
      </c>
      <c r="O472" s="151">
        <f>+IF(OR($Q472=Parametres!$G$2,$Q472=Parametres!$G$3),J472,D472)</f>
        <v>252790.53</v>
      </c>
      <c r="P472" s="151">
        <f>+IF(OR($Q472=Parametres!$G$2,$Q472=Parametres!$G$3),K472,E472)</f>
        <v>1224194.1100000001</v>
      </c>
      <c r="Q472" s="150" t="str">
        <f t="shared" si="37"/>
        <v>6-Coût des ventes</v>
      </c>
      <c r="R472" s="149" t="str">
        <f t="shared" si="38"/>
        <v>444A</v>
      </c>
      <c r="S472" s="150" t="str">
        <f t="shared" si="39"/>
        <v>_</v>
      </c>
      <c r="T472" s="152" t="str">
        <f>+VLOOKUP($L472,Data_Validation!$A:$D,1,0)</f>
        <v>644A</v>
      </c>
      <c r="U472" s="152" t="str">
        <f>+VLOOKUP($L472,Data_Validation!$A:$D,3,0)</f>
        <v>Véhicules usagés</v>
      </c>
      <c r="V472" s="152" t="str">
        <f>+VLOOKUP($L472,Data_Validation!$A:$D,4,0)</f>
        <v>Ventes au Gros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1854</v>
      </c>
      <c r="B473" s="708" t="s">
        <v>987</v>
      </c>
      <c r="C473" s="710">
        <v>1160686.03</v>
      </c>
      <c r="D473" s="710">
        <v>319078.09000000003</v>
      </c>
      <c r="E473" s="710">
        <v>1479764.12</v>
      </c>
      <c r="F473" s="708" t="s">
        <v>2014</v>
      </c>
      <c r="G473" s="708" t="s">
        <v>398</v>
      </c>
      <c r="H473" s="600" t="s">
        <v>2997</v>
      </c>
      <c r="I473" s="601"/>
      <c r="J473" s="601"/>
      <c r="K473" s="601"/>
      <c r="L473" s="149" t="str">
        <f t="shared" si="35"/>
        <v>644B</v>
      </c>
      <c r="M473" s="150" t="str">
        <f t="shared" si="36"/>
        <v>C/V - GROS BMW CAMION</v>
      </c>
      <c r="N473" s="151">
        <f>+IF(OR($Q473=Parametres!$G$2,$Q473=Parametres!$G$3),I473,C473)</f>
        <v>1160686.03</v>
      </c>
      <c r="O473" s="151">
        <f>+IF(OR($Q473=Parametres!$G$2,$Q473=Parametres!$G$3),J473,D473)</f>
        <v>319078.09000000003</v>
      </c>
      <c r="P473" s="151">
        <f>+IF(OR($Q473=Parametres!$G$2,$Q473=Parametres!$G$3),K473,E473)</f>
        <v>1479764.12</v>
      </c>
      <c r="Q473" s="150" t="str">
        <f t="shared" si="37"/>
        <v>6-Coût des ventes</v>
      </c>
      <c r="R473" s="149" t="str">
        <f t="shared" si="38"/>
        <v>444B</v>
      </c>
      <c r="S473" s="150" t="str">
        <f t="shared" si="39"/>
        <v>_</v>
      </c>
      <c r="T473" s="152" t="str">
        <f>+VLOOKUP($L473,Data_Validation!$A:$D,1,0)</f>
        <v>644B</v>
      </c>
      <c r="U473" s="152" t="str">
        <f>+VLOOKUP($L473,Data_Validation!$A:$D,3,0)</f>
        <v>Véhicules usagés</v>
      </c>
      <c r="V473" s="152" t="str">
        <f>+VLOOKUP($L473,Data_Validation!$A:$D,4,0)</f>
        <v>Ventes au Gros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1838</v>
      </c>
      <c r="B474" s="708" t="s">
        <v>974</v>
      </c>
      <c r="C474" s="709">
        <v>1160916.8400000001</v>
      </c>
      <c r="D474" s="709">
        <v>210503.74</v>
      </c>
      <c r="E474" s="709">
        <v>1371420.58</v>
      </c>
      <c r="F474" s="708" t="s">
        <v>2014</v>
      </c>
      <c r="G474" s="708" t="s">
        <v>418</v>
      </c>
      <c r="H474" s="709" t="s">
        <v>2997</v>
      </c>
      <c r="I474" s="710"/>
      <c r="J474" s="710"/>
      <c r="K474" s="710"/>
      <c r="L474" s="149" t="str">
        <f t="shared" si="35"/>
        <v>646A</v>
      </c>
      <c r="M474" s="150" t="str">
        <f t="shared" si="36"/>
        <v>C/V - USAGE BMW CAMION CERT</v>
      </c>
      <c r="N474" s="151">
        <f>+IF(OR($Q474=Parametres!$G$2,$Q474=Parametres!$G$3),I474,C474)</f>
        <v>1160916.8400000001</v>
      </c>
      <c r="O474" s="151">
        <f>+IF(OR($Q474=Parametres!$G$2,$Q474=Parametres!$G$3),J474,D474)</f>
        <v>210503.74</v>
      </c>
      <c r="P474" s="151">
        <f>+IF(OR($Q474=Parametres!$G$2,$Q474=Parametres!$G$3),K474,E474)</f>
        <v>1371420.58</v>
      </c>
      <c r="Q474" s="150" t="str">
        <f t="shared" si="37"/>
        <v>6-Coût des ventes</v>
      </c>
      <c r="R474" s="149" t="str">
        <f t="shared" si="38"/>
        <v>446A</v>
      </c>
      <c r="S474" s="150" t="str">
        <f t="shared" si="39"/>
        <v>_</v>
      </c>
      <c r="T474" s="152" t="str">
        <f>+VLOOKUP($L474,Data_Validation!$A:$D,1,0)</f>
        <v>646A</v>
      </c>
      <c r="U474" s="152" t="str">
        <f>+VLOOKUP($L474,Data_Validation!$A:$D,3,0)</f>
        <v>Véhicules usagés</v>
      </c>
      <c r="V474" s="152" t="str">
        <f>+VLOOKUP($L474,Data_Validation!$A:$D,4,0)</f>
        <v>Certifié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1828</v>
      </c>
      <c r="B475" s="708" t="s">
        <v>973</v>
      </c>
      <c r="C475" s="710">
        <v>1177459.54</v>
      </c>
      <c r="D475" s="710">
        <v>58630.13</v>
      </c>
      <c r="E475" s="710">
        <v>1236089.67</v>
      </c>
      <c r="F475" s="708" t="s">
        <v>2014</v>
      </c>
      <c r="G475" s="708" t="s">
        <v>420</v>
      </c>
      <c r="H475" s="657" t="s">
        <v>2997</v>
      </c>
      <c r="I475" s="656"/>
      <c r="J475" s="656"/>
      <c r="K475" s="656"/>
      <c r="L475" s="149" t="str">
        <f t="shared" si="35"/>
        <v>640A</v>
      </c>
      <c r="M475" s="150" t="str">
        <f t="shared" si="36"/>
        <v>C/V - USAGE BMW AUTO CERT</v>
      </c>
      <c r="N475" s="151">
        <f>+IF(OR($Q475=Parametres!$G$2,$Q475=Parametres!$G$3),I475,C475)</f>
        <v>1177459.54</v>
      </c>
      <c r="O475" s="151">
        <f>+IF(OR($Q475=Parametres!$G$2,$Q475=Parametres!$G$3),J475,D475)</f>
        <v>58630.13</v>
      </c>
      <c r="P475" s="151">
        <f>+IF(OR($Q475=Parametres!$G$2,$Q475=Parametres!$G$3),K475,E475)</f>
        <v>1236089.67</v>
      </c>
      <c r="Q475" s="150" t="str">
        <f t="shared" si="37"/>
        <v>6-Coût des ventes</v>
      </c>
      <c r="R475" s="149" t="str">
        <f t="shared" si="38"/>
        <v>440A</v>
      </c>
      <c r="S475" s="150" t="str">
        <f t="shared" si="39"/>
        <v>_</v>
      </c>
      <c r="T475" s="152" t="str">
        <f>+VLOOKUP($L475,Data_Validation!$A:$D,1,0)</f>
        <v>640A</v>
      </c>
      <c r="U475" s="152" t="str">
        <f>+VLOOKUP($L475,Data_Validation!$A:$D,3,0)</f>
        <v>Véhicules usagés</v>
      </c>
      <c r="V475" s="152" t="str">
        <f>+VLOOKUP($L475,Data_Validation!$A:$D,4,0)</f>
        <v>Certifié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1841</v>
      </c>
      <c r="B476" s="708" t="s">
        <v>665</v>
      </c>
      <c r="C476" s="710">
        <v>1663551.8</v>
      </c>
      <c r="D476" s="710">
        <v>121268.57</v>
      </c>
      <c r="E476" s="710">
        <v>1784820.37</v>
      </c>
      <c r="F476" s="708" t="s">
        <v>2014</v>
      </c>
      <c r="G476" s="708" t="s">
        <v>384</v>
      </c>
      <c r="H476" s="664" t="s">
        <v>2997</v>
      </c>
      <c r="I476" s="663"/>
      <c r="J476" s="663"/>
      <c r="K476" s="663"/>
      <c r="L476" s="149" t="str">
        <f t="shared" si="35"/>
        <v>642</v>
      </c>
      <c r="M476" s="150" t="str">
        <f t="shared" si="36"/>
        <v>C/V - USAGE AUTRES</v>
      </c>
      <c r="N476" s="151">
        <f>+IF(OR($Q476=Parametres!$G$2,$Q476=Parametres!$G$3),I476,C476)</f>
        <v>1663551.8</v>
      </c>
      <c r="O476" s="151">
        <f>+IF(OR($Q476=Parametres!$G$2,$Q476=Parametres!$G$3),J476,D476)</f>
        <v>121268.57</v>
      </c>
      <c r="P476" s="151">
        <f>+IF(OR($Q476=Parametres!$G$2,$Q476=Parametres!$G$3),K476,E476)</f>
        <v>1784820.37</v>
      </c>
      <c r="Q476" s="150" t="str">
        <f t="shared" si="37"/>
        <v>6-Coût des ventes</v>
      </c>
      <c r="R476" s="149" t="str">
        <f t="shared" si="38"/>
        <v>442</v>
      </c>
      <c r="S476" s="150" t="str">
        <f t="shared" si="39"/>
        <v>_</v>
      </c>
      <c r="T476" s="152" t="str">
        <f>+VLOOKUP($L476,Data_Validation!$A:$D,1,0)</f>
        <v>642</v>
      </c>
      <c r="U476" s="152" t="str">
        <f>+VLOOKUP($L476,Data_Validation!$A:$D,3,0)</f>
        <v>Véhicules usagés</v>
      </c>
      <c r="V476" s="152" t="str">
        <f>+VLOOKUP($L476,Data_Validation!$A:$D,4,0)</f>
        <v>Autres marques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1428</v>
      </c>
      <c r="B477" s="708" t="s">
        <v>655</v>
      </c>
      <c r="C477" s="710">
        <v>1846766.53</v>
      </c>
      <c r="D477" s="710">
        <v>73251.75</v>
      </c>
      <c r="E477" s="710">
        <v>1920018.28</v>
      </c>
      <c r="F477" s="708" t="s">
        <v>2014</v>
      </c>
      <c r="G477" s="708" t="s">
        <v>617</v>
      </c>
      <c r="H477" s="664" t="s">
        <v>2997</v>
      </c>
      <c r="I477" s="663"/>
      <c r="J477" s="663"/>
      <c r="K477" s="663"/>
      <c r="L477" s="149" t="str">
        <f t="shared" si="35"/>
        <v>623C</v>
      </c>
      <c r="M477" s="150" t="str">
        <f t="shared" si="36"/>
        <v>C/V - X3 XDRIVE 30E</v>
      </c>
      <c r="N477" s="151">
        <f>+IF(OR($Q477=Parametres!$G$2,$Q477=Parametres!$G$3),I477,C477)</f>
        <v>1846766.53</v>
      </c>
      <c r="O477" s="151">
        <f>+IF(OR($Q477=Parametres!$G$2,$Q477=Parametres!$G$3),J477,D477)</f>
        <v>73251.75</v>
      </c>
      <c r="P477" s="151">
        <f>+IF(OR($Q477=Parametres!$G$2,$Q477=Parametres!$G$3),K477,E477)</f>
        <v>1920018.28</v>
      </c>
      <c r="Q477" s="150" t="str">
        <f t="shared" si="37"/>
        <v>6-Coût des ventes</v>
      </c>
      <c r="R477" s="149" t="str">
        <f t="shared" si="38"/>
        <v>423C</v>
      </c>
      <c r="S477" s="150" t="str">
        <f t="shared" si="39"/>
        <v>_</v>
      </c>
      <c r="T477" s="152" t="str">
        <f>+VLOOKUP($L477,Data_Validation!$A:$D,1,0)</f>
        <v>623C</v>
      </c>
      <c r="U477" s="152" t="str">
        <f>+VLOOKUP($L477,Data_Validation!$A:$D,3,0)</f>
        <v>Véhicules neufs</v>
      </c>
      <c r="V477" s="152" t="str">
        <f>+VLOOKUP($L477,Data_Validation!$A:$D,4,0)</f>
        <v>Camions détail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1842</v>
      </c>
      <c r="B478" s="708" t="s">
        <v>979</v>
      </c>
      <c r="C478" s="709">
        <v>2242873.7599999998</v>
      </c>
      <c r="D478" s="709">
        <v>0</v>
      </c>
      <c r="E478" s="709">
        <v>2242873.7599999998</v>
      </c>
      <c r="F478" s="708" t="s">
        <v>2014</v>
      </c>
      <c r="G478" s="708" t="s">
        <v>410</v>
      </c>
      <c r="H478" s="709" t="s">
        <v>2997</v>
      </c>
      <c r="I478" s="710"/>
      <c r="J478" s="710"/>
      <c r="K478" s="710"/>
      <c r="L478" s="149" t="str">
        <f t="shared" si="35"/>
        <v>616</v>
      </c>
      <c r="M478" s="150" t="str">
        <f t="shared" si="36"/>
        <v>C/V - X1 XDRIVE 28I</v>
      </c>
      <c r="N478" s="151">
        <f>+IF(OR($Q478=Parametres!$G$2,$Q478=Parametres!$G$3),I478,C478)</f>
        <v>2242873.7599999998</v>
      </c>
      <c r="O478" s="151">
        <f>+IF(OR($Q478=Parametres!$G$2,$Q478=Parametres!$G$3),J478,D478)</f>
        <v>0</v>
      </c>
      <c r="P478" s="151">
        <f>+IF(OR($Q478=Parametres!$G$2,$Q478=Parametres!$G$3),K478,E478)</f>
        <v>2242873.7599999998</v>
      </c>
      <c r="Q478" s="150" t="str">
        <f t="shared" si="37"/>
        <v>6-Coût des ventes</v>
      </c>
      <c r="R478" s="149" t="str">
        <f t="shared" si="38"/>
        <v>416</v>
      </c>
      <c r="S478" s="150" t="str">
        <f t="shared" si="39"/>
        <v>_</v>
      </c>
      <c r="T478" s="152" t="str">
        <f>+VLOOKUP($L478,Data_Validation!$A:$D,1,0)</f>
        <v>616</v>
      </c>
      <c r="U478" s="152" t="str">
        <f>+VLOOKUP($L478,Data_Validation!$A:$D,3,0)</f>
        <v>Véhicules neufs</v>
      </c>
      <c r="V478" s="152" t="str">
        <f>+VLOOKUP($L478,Data_Validation!$A:$D,4,0)</f>
        <v>Camions détail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1837</v>
      </c>
      <c r="B479" s="708" t="s">
        <v>654</v>
      </c>
      <c r="C479" s="709">
        <v>2708099.32</v>
      </c>
      <c r="D479" s="709">
        <v>281689.33</v>
      </c>
      <c r="E479" s="709">
        <v>2989788.65</v>
      </c>
      <c r="F479" s="708" t="s">
        <v>2014</v>
      </c>
      <c r="G479" s="708" t="s">
        <v>616</v>
      </c>
      <c r="H479" s="709" t="s">
        <v>2997</v>
      </c>
      <c r="I479" s="710"/>
      <c r="J479" s="710"/>
      <c r="K479" s="710"/>
      <c r="L479" s="149" t="str">
        <f t="shared" si="35"/>
        <v>618</v>
      </c>
      <c r="M479" s="150" t="str">
        <f t="shared" si="36"/>
        <v>C/V - AUTRES MODELES BMW AUTO</v>
      </c>
      <c r="N479" s="151">
        <f>+IF(OR($Q479=Parametres!$G$2,$Q479=Parametres!$G$3),I479,C479)</f>
        <v>2708099.32</v>
      </c>
      <c r="O479" s="151">
        <f>+IF(OR($Q479=Parametres!$G$2,$Q479=Parametres!$G$3),J479,D479)</f>
        <v>281689.33</v>
      </c>
      <c r="P479" s="151">
        <f>+IF(OR($Q479=Parametres!$G$2,$Q479=Parametres!$G$3),K479,E479)</f>
        <v>2989788.65</v>
      </c>
      <c r="Q479" s="150" t="str">
        <f t="shared" si="37"/>
        <v>6-Coût des ventes</v>
      </c>
      <c r="R479" s="149" t="str">
        <f t="shared" si="38"/>
        <v>418</v>
      </c>
      <c r="S479" s="150" t="str">
        <f t="shared" si="39"/>
        <v>_</v>
      </c>
      <c r="T479" s="152" t="str">
        <f>+VLOOKUP($L479,Data_Validation!$A:$D,1,0)</f>
        <v>618</v>
      </c>
      <c r="U479" s="152" t="str">
        <f>+VLOOKUP($L479,Data_Validation!$A:$D,3,0)</f>
        <v>Véhicules neufs</v>
      </c>
      <c r="V479" s="152" t="str">
        <f>+VLOOKUP($L479,Data_Validation!$A:$D,4,0)</f>
        <v>Ex-Démos et courtoisies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1847</v>
      </c>
      <c r="B480" s="708" t="s">
        <v>985</v>
      </c>
      <c r="C480" s="710">
        <v>3269066.47</v>
      </c>
      <c r="D480" s="710">
        <v>386992.04</v>
      </c>
      <c r="E480" s="710">
        <v>3656058.51</v>
      </c>
      <c r="F480" s="708" t="s">
        <v>2014</v>
      </c>
      <c r="G480" s="708" t="s">
        <v>401</v>
      </c>
      <c r="H480" s="664" t="s">
        <v>2997</v>
      </c>
      <c r="I480" s="664"/>
      <c r="J480" s="664"/>
      <c r="K480" s="664"/>
      <c r="L480" s="149" t="str">
        <f t="shared" si="35"/>
        <v>644C</v>
      </c>
      <c r="M480" s="150" t="str">
        <f t="shared" si="36"/>
        <v>C/V - GROS AUTRES</v>
      </c>
      <c r="N480" s="151">
        <f>+IF(OR($Q480=Parametres!$G$2,$Q480=Parametres!$G$3),I480,C480)</f>
        <v>3269066.47</v>
      </c>
      <c r="O480" s="151">
        <f>+IF(OR($Q480=Parametres!$G$2,$Q480=Parametres!$G$3),J480,D480)</f>
        <v>386992.04</v>
      </c>
      <c r="P480" s="151">
        <f>+IF(OR($Q480=Parametres!$G$2,$Q480=Parametres!$G$3),K480,E480)</f>
        <v>3656058.51</v>
      </c>
      <c r="Q480" s="150" t="str">
        <f t="shared" si="37"/>
        <v>6-Coût des ventes</v>
      </c>
      <c r="R480" s="149" t="str">
        <f t="shared" si="38"/>
        <v>444C</v>
      </c>
      <c r="S480" s="150" t="str">
        <f t="shared" si="39"/>
        <v>_</v>
      </c>
      <c r="T480" s="152" t="str">
        <f>+VLOOKUP($L480,Data_Validation!$A:$D,1,0)</f>
        <v>644C</v>
      </c>
      <c r="U480" s="152" t="str">
        <f>+VLOOKUP($L480,Data_Validation!$A:$D,3,0)</f>
        <v>Véhicules usagés</v>
      </c>
      <c r="V480" s="152" t="str">
        <f>+VLOOKUP($L480,Data_Validation!$A:$D,4,0)</f>
        <v>Ventes au Gros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1168</v>
      </c>
      <c r="B481" s="708" t="s">
        <v>1169</v>
      </c>
      <c r="C481" s="710">
        <v>-33096.199999999997</v>
      </c>
      <c r="D481" s="710">
        <v>-3391.2</v>
      </c>
      <c r="E481" s="710">
        <v>-36487.4</v>
      </c>
      <c r="F481" s="708" t="s">
        <v>2228</v>
      </c>
      <c r="G481" s="708" t="s">
        <v>2254</v>
      </c>
      <c r="H481" s="664" t="s">
        <v>2997</v>
      </c>
      <c r="I481" s="663"/>
      <c r="J481" s="663"/>
      <c r="K481" s="663"/>
      <c r="L481" s="149" t="str">
        <f t="shared" si="35"/>
        <v>54E</v>
      </c>
      <c r="M481" s="150" t="str">
        <f t="shared" si="36"/>
        <v>REV BMW CANADA MOBILITY - SERV BMW</v>
      </c>
      <c r="N481" s="151">
        <f>+IF(OR($Q481=Parametres!$G$2,$Q481=Parametres!$G$3),I481,C481)</f>
        <v>-33096.199999999997</v>
      </c>
      <c r="O481" s="497">
        <f>+IF(OR($Q481=Parametres!$G$2,$Q481=Parametres!$G$3),J481,D481)</f>
        <v>-3391.2</v>
      </c>
      <c r="P481" s="151">
        <f>+IF(OR($Q481=Parametres!$G$2,$Q481=Parametres!$G$3),K481,E481)</f>
        <v>-36487.4</v>
      </c>
      <c r="Q481" s="150" t="str">
        <f t="shared" si="37"/>
        <v>7-Dépenses</v>
      </c>
      <c r="R481" s="149" t="str">
        <f t="shared" si="38"/>
        <v>54</v>
      </c>
      <c r="S481" s="150" t="str">
        <f t="shared" si="39"/>
        <v>_</v>
      </c>
      <c r="T481" s="152" t="str">
        <f>+VLOOKUP($L481,Data_Validation!$A:$D,1,0)</f>
        <v>54E</v>
      </c>
      <c r="U481" s="152" t="str">
        <f>+VLOOKUP($L481,Data_Validation!$A:$D,3,0)</f>
        <v>Service</v>
      </c>
      <c r="V481" s="152" t="str">
        <f>+VLOOKUP($L481,Data_Validation!$A:$D,4,0)</f>
        <v>Frais véhicules de cie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1170</v>
      </c>
      <c r="B482" s="708" t="s">
        <v>1171</v>
      </c>
      <c r="C482" s="710">
        <v>-33096.199999999997</v>
      </c>
      <c r="D482" s="710">
        <v>-3391.2</v>
      </c>
      <c r="E482" s="710">
        <v>-36487.4</v>
      </c>
      <c r="F482" s="708" t="s">
        <v>2228</v>
      </c>
      <c r="G482" s="708" t="s">
        <v>2254</v>
      </c>
      <c r="H482" s="602" t="s">
        <v>2997</v>
      </c>
      <c r="I482" s="602"/>
      <c r="J482" s="602"/>
      <c r="K482" s="602"/>
      <c r="L482" s="149" t="str">
        <f t="shared" si="35"/>
        <v>54G</v>
      </c>
      <c r="M482" s="150" t="str">
        <f t="shared" si="36"/>
        <v>REV BMW CANADA MOBILITY - PIECES BMW</v>
      </c>
      <c r="N482" s="151">
        <f>+IF(OR($Q482=Parametres!$G$2,$Q482=Parametres!$G$3),I482,C482)</f>
        <v>-33096.199999999997</v>
      </c>
      <c r="O482" s="151">
        <f>+IF(OR($Q482=Parametres!$G$2,$Q482=Parametres!$G$3),J482,D482)</f>
        <v>-3391.2</v>
      </c>
      <c r="P482" s="151">
        <f>+IF(OR($Q482=Parametres!$G$2,$Q482=Parametres!$G$3),K482,E482)</f>
        <v>-36487.4</v>
      </c>
      <c r="Q482" s="150" t="str">
        <f t="shared" si="37"/>
        <v>7-Dépenses</v>
      </c>
      <c r="R482" s="149" t="str">
        <f t="shared" si="38"/>
        <v>54</v>
      </c>
      <c r="S482" s="150" t="str">
        <f t="shared" si="39"/>
        <v>_</v>
      </c>
      <c r="T482" s="152" t="str">
        <f>+VLOOKUP($L482,Data_Validation!$A:$D,1,0)</f>
        <v>54G</v>
      </c>
      <c r="U482" s="152" t="str">
        <f>+VLOOKUP($L482,Data_Validation!$A:$D,3,0)</f>
        <v>pièces</v>
      </c>
      <c r="V482" s="152" t="str">
        <f>+VLOOKUP($L482,Data_Validation!$A:$D,4,0)</f>
        <v>Frais véhicules de cie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2852</v>
      </c>
      <c r="B483" s="708" t="s">
        <v>2853</v>
      </c>
      <c r="C483" s="709">
        <v>-25900</v>
      </c>
      <c r="D483" s="709">
        <v>-2547.54</v>
      </c>
      <c r="E483" s="709">
        <v>-28447.54</v>
      </c>
      <c r="F483" s="708" t="s">
        <v>2228</v>
      </c>
      <c r="G483" s="708" t="s">
        <v>2290</v>
      </c>
      <c r="H483" s="709" t="s">
        <v>2997</v>
      </c>
      <c r="I483" s="710"/>
      <c r="J483" s="710"/>
      <c r="K483" s="710"/>
      <c r="L483" s="149" t="str">
        <f t="shared" si="35"/>
        <v>18L</v>
      </c>
      <c r="M483" s="150" t="str">
        <f t="shared" si="36"/>
        <v>CREDIT INT FLOOR PLAN</v>
      </c>
      <c r="N483" s="151">
        <f>+IF(OR($Q483=Parametres!$G$2,$Q483=Parametres!$G$3),I483,C483)</f>
        <v>-25900</v>
      </c>
      <c r="O483" s="151">
        <f>+IF(OR($Q483=Parametres!$G$2,$Q483=Parametres!$G$3),J483,D483)</f>
        <v>-2547.54</v>
      </c>
      <c r="P483" s="151">
        <f>+IF(OR($Q483=Parametres!$G$2,$Q483=Parametres!$G$3),K483,E483)</f>
        <v>-28447.54</v>
      </c>
      <c r="Q483" s="150" t="str">
        <f t="shared" si="37"/>
        <v>7-Dépenses</v>
      </c>
      <c r="R483" s="149" t="str">
        <f t="shared" si="38"/>
        <v>18</v>
      </c>
      <c r="S483" s="150" t="str">
        <f t="shared" si="39"/>
        <v>_</v>
      </c>
      <c r="T483" s="152" t="str">
        <f>+VLOOKUP($L483,Data_Validation!$A:$D,1,0)</f>
        <v>18L</v>
      </c>
      <c r="U483" s="152" t="str">
        <f>+VLOOKUP($L483,Data_Validation!$A:$D,3,0)</f>
        <v>Autres</v>
      </c>
      <c r="V483" s="152" t="str">
        <f>+VLOOKUP($L483,Data_Validation!$A:$D,4,0)</f>
        <v>Revenus d'intérêts floor plan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1181</v>
      </c>
      <c r="B484" s="708" t="s">
        <v>461</v>
      </c>
      <c r="C484" s="710">
        <v>-22800</v>
      </c>
      <c r="D484" s="710">
        <v>-1200</v>
      </c>
      <c r="E484" s="710">
        <v>-24000</v>
      </c>
      <c r="F484" s="708" t="s">
        <v>2228</v>
      </c>
      <c r="G484" s="708" t="s">
        <v>2255</v>
      </c>
      <c r="H484" s="664" t="s">
        <v>2997</v>
      </c>
      <c r="I484" s="664"/>
      <c r="J484" s="664"/>
      <c r="K484" s="664"/>
      <c r="L484" s="149" t="str">
        <f t="shared" si="35"/>
        <v>19A</v>
      </c>
      <c r="M484" s="501" t="str">
        <f t="shared" si="36"/>
        <v>RECOUV. PUBLICITE - NEUF BMW</v>
      </c>
      <c r="N484" s="151">
        <f>+IF(OR($Q484=Parametres!$G$2,$Q484=Parametres!$G$3),I484,C484)</f>
        <v>-22800</v>
      </c>
      <c r="O484" s="502">
        <f>+IF(OR($Q484=Parametres!$G$2,$Q484=Parametres!$G$3),J484,D484)</f>
        <v>-1200</v>
      </c>
      <c r="P484" s="503">
        <f>+IF(OR($Q484=Parametres!$G$2,$Q484=Parametres!$G$3),K484,E484)</f>
        <v>-24000</v>
      </c>
      <c r="Q484" s="150" t="str">
        <f t="shared" si="37"/>
        <v>7-Dépenses</v>
      </c>
      <c r="R484" s="149" t="str">
        <f t="shared" si="38"/>
        <v>19</v>
      </c>
      <c r="S484" s="150" t="str">
        <f t="shared" si="39"/>
        <v>_</v>
      </c>
      <c r="T484" s="152" t="str">
        <f>+VLOOKUP($L484,Data_Validation!$A:$D,1,0)</f>
        <v>19A</v>
      </c>
      <c r="U484" s="152" t="str">
        <f>+VLOOKUP($L484,Data_Validation!$A:$D,3,0)</f>
        <v>Véhicules neufs</v>
      </c>
      <c r="V484" s="152" t="str">
        <f>+VLOOKUP($L484,Data_Validation!$A:$D,4,0)</f>
        <v>Publicité 1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1200</v>
      </c>
      <c r="B485" s="708" t="s">
        <v>463</v>
      </c>
      <c r="C485" s="710">
        <v>-14900</v>
      </c>
      <c r="D485" s="710">
        <v>-1400</v>
      </c>
      <c r="E485" s="710">
        <v>-16300</v>
      </c>
      <c r="F485" s="708" t="s">
        <v>2228</v>
      </c>
      <c r="G485" s="708" t="s">
        <v>2255</v>
      </c>
      <c r="H485" s="664" t="s">
        <v>2997</v>
      </c>
      <c r="I485" s="663"/>
      <c r="J485" s="663"/>
      <c r="K485" s="663"/>
      <c r="L485" s="149" t="str">
        <f t="shared" si="35"/>
        <v>19C</v>
      </c>
      <c r="M485" s="150" t="str">
        <f t="shared" si="36"/>
        <v>RECOUV. PUBLICITE - USAGE BMW</v>
      </c>
      <c r="N485" s="151">
        <f>+IF(OR($Q485=Parametres!$G$2,$Q485=Parametres!$G$3),I485,C485)</f>
        <v>-14900</v>
      </c>
      <c r="O485" s="151">
        <f>+IF(OR($Q485=Parametres!$G$2,$Q485=Parametres!$G$3),J485,D485)</f>
        <v>-1400</v>
      </c>
      <c r="P485" s="151">
        <f>+IF(OR($Q485=Parametres!$G$2,$Q485=Parametres!$G$3),K485,E485)</f>
        <v>-16300</v>
      </c>
      <c r="Q485" s="150" t="str">
        <f t="shared" si="37"/>
        <v>7-Dépenses</v>
      </c>
      <c r="R485" s="149" t="str">
        <f t="shared" si="38"/>
        <v>19</v>
      </c>
      <c r="S485" s="150" t="str">
        <f t="shared" si="39"/>
        <v>_</v>
      </c>
      <c r="T485" s="152" t="str">
        <f>+VLOOKUP($L485,Data_Validation!$A:$D,1,0)</f>
        <v>19C</v>
      </c>
      <c r="U485" s="152" t="str">
        <f>+VLOOKUP($L485,Data_Validation!$A:$D,3,0)</f>
        <v>Véhicules usagés</v>
      </c>
      <c r="V485" s="152" t="str">
        <f>+VLOOKUP($L485,Data_Validation!$A:$D,4,0)</f>
        <v>Publicité 1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1665</v>
      </c>
      <c r="B486" s="708" t="s">
        <v>930</v>
      </c>
      <c r="C486" s="709">
        <v>-5335</v>
      </c>
      <c r="D486" s="709">
        <v>-1845</v>
      </c>
      <c r="E486" s="709">
        <v>-7180</v>
      </c>
      <c r="F486" s="708" t="s">
        <v>2228</v>
      </c>
      <c r="G486" s="708" t="s">
        <v>2256</v>
      </c>
      <c r="H486" s="709" t="s">
        <v>2997</v>
      </c>
      <c r="I486" s="710"/>
      <c r="J486" s="710"/>
      <c r="K486" s="710"/>
      <c r="L486" s="149" t="str">
        <f t="shared" si="35"/>
        <v>17A</v>
      </c>
      <c r="M486" s="150" t="str">
        <f t="shared" si="36"/>
        <v>PUBLICITE GROUPE - NEUF BMW</v>
      </c>
      <c r="N486" s="151">
        <f>+IF(OR($Q486=Parametres!$G$2,$Q486=Parametres!$G$3),I486,C486)</f>
        <v>-5335</v>
      </c>
      <c r="O486" s="151">
        <f>+IF(OR($Q486=Parametres!$G$2,$Q486=Parametres!$G$3),J486,D486)</f>
        <v>-1845</v>
      </c>
      <c r="P486" s="151">
        <f>+IF(OR($Q486=Parametres!$G$2,$Q486=Parametres!$G$3),K486,E486)</f>
        <v>-7180</v>
      </c>
      <c r="Q486" s="150" t="str">
        <f t="shared" si="37"/>
        <v>7-Dépenses</v>
      </c>
      <c r="R486" s="149" t="str">
        <f t="shared" si="38"/>
        <v>17</v>
      </c>
      <c r="S486" s="150" t="str">
        <f t="shared" si="39"/>
        <v>_</v>
      </c>
      <c r="T486" s="152" t="str">
        <f>+VLOOKUP($L486,Data_Validation!$A:$D,1,0)</f>
        <v>17A</v>
      </c>
      <c r="U486" s="152" t="str">
        <f>+VLOOKUP($L486,Data_Validation!$A:$D,3,0)</f>
        <v>Véhicules neufs</v>
      </c>
      <c r="V486" s="152" t="str">
        <f>+VLOOKUP($L486,Data_Validation!$A:$D,4,0)</f>
        <v>Publicité 1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2436</v>
      </c>
      <c r="B487" s="708" t="s">
        <v>2437</v>
      </c>
      <c r="C487" s="710">
        <v>-97.5</v>
      </c>
      <c r="D487" s="710">
        <v>0</v>
      </c>
      <c r="E487" s="710">
        <v>-97.5</v>
      </c>
      <c r="F487" s="708" t="s">
        <v>2228</v>
      </c>
      <c r="G487" s="708" t="s">
        <v>2511</v>
      </c>
      <c r="H487" s="657" t="s">
        <v>2997</v>
      </c>
      <c r="I487" s="656"/>
      <c r="J487" s="656"/>
      <c r="K487" s="656"/>
      <c r="L487" s="149" t="str">
        <f t="shared" si="35"/>
        <v>55E</v>
      </c>
      <c r="M487" s="150" t="str">
        <f t="shared" si="36"/>
        <v>CHARGE PRET VEHICULES CLIENTS - SERV. BMW</v>
      </c>
      <c r="N487" s="151">
        <f>+IF(OR($Q487=Parametres!$G$2,$Q487=Parametres!$G$3),I487,C487)</f>
        <v>-97.5</v>
      </c>
      <c r="O487" s="151">
        <f>+IF(OR($Q487=Parametres!$G$2,$Q487=Parametres!$G$3),J487,D487)</f>
        <v>0</v>
      </c>
      <c r="P487" s="151">
        <f>+IF(OR($Q487=Parametres!$G$2,$Q487=Parametres!$G$3),K487,E487)</f>
        <v>-97.5</v>
      </c>
      <c r="Q487" s="150" t="str">
        <f t="shared" si="37"/>
        <v>7-Dépenses</v>
      </c>
      <c r="R487" s="149" t="str">
        <f t="shared" si="38"/>
        <v>55</v>
      </c>
      <c r="S487" s="150" t="str">
        <f t="shared" si="39"/>
        <v>_</v>
      </c>
      <c r="T487" s="152" t="str">
        <f>+VLOOKUP($L487,Data_Validation!$A:$D,1,0)</f>
        <v>55E</v>
      </c>
      <c r="U487" s="152" t="str">
        <f>+VLOOKUP($L487,Data_Validation!$A:$D,3,0)</f>
        <v>Service</v>
      </c>
      <c r="V487" s="152" t="str">
        <f>+VLOOKUP($L487,Data_Validation!$A:$D,4,0)</f>
        <v>Frais véhicules de cie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2438</v>
      </c>
      <c r="B488" s="708" t="s">
        <v>2439</v>
      </c>
      <c r="C488" s="710">
        <v>-97.5</v>
      </c>
      <c r="D488" s="710">
        <v>0</v>
      </c>
      <c r="E488" s="710">
        <v>-97.5</v>
      </c>
      <c r="F488" s="708" t="s">
        <v>2228</v>
      </c>
      <c r="G488" s="708" t="s">
        <v>2511</v>
      </c>
      <c r="H488" s="664" t="s">
        <v>2997</v>
      </c>
      <c r="I488" s="663"/>
      <c r="J488" s="663"/>
      <c r="K488" s="663"/>
      <c r="L488" s="149" t="str">
        <f t="shared" si="35"/>
        <v>55G</v>
      </c>
      <c r="M488" s="150" t="str">
        <f t="shared" si="36"/>
        <v>CHARGE PRET VEHICULES CLIENTS - PIECES BMW</v>
      </c>
      <c r="N488" s="151">
        <f>+IF(OR($Q488=Parametres!$G$2,$Q488=Parametres!$G$3),I488,C488)</f>
        <v>-97.5</v>
      </c>
      <c r="O488" s="151">
        <f>+IF(OR($Q488=Parametres!$G$2,$Q488=Parametres!$G$3),J488,D488)</f>
        <v>0</v>
      </c>
      <c r="P488" s="151">
        <f>+IF(OR($Q488=Parametres!$G$2,$Q488=Parametres!$G$3),K488,E488)</f>
        <v>-97.5</v>
      </c>
      <c r="Q488" s="150" t="str">
        <f t="shared" si="37"/>
        <v>7-Dépenses</v>
      </c>
      <c r="R488" s="149" t="str">
        <f t="shared" si="38"/>
        <v>55</v>
      </c>
      <c r="S488" s="150" t="str">
        <f t="shared" si="39"/>
        <v>_</v>
      </c>
      <c r="T488" s="152" t="str">
        <f>+VLOOKUP($L488,Data_Validation!$A:$D,1,0)</f>
        <v>55G</v>
      </c>
      <c r="U488" s="152" t="str">
        <f>+VLOOKUP($L488,Data_Validation!$A:$D,3,0)</f>
        <v>pièces</v>
      </c>
      <c r="V488" s="152" t="str">
        <f>+VLOOKUP($L488,Data_Validation!$A:$D,4,0)</f>
        <v>Frais véhicules de cie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1874</v>
      </c>
      <c r="B489" s="708" t="s">
        <v>769</v>
      </c>
      <c r="C489" s="710">
        <v>79.98</v>
      </c>
      <c r="D489" s="710">
        <v>0</v>
      </c>
      <c r="E489" s="710">
        <v>79.98</v>
      </c>
      <c r="F489" s="708" t="s">
        <v>2228</v>
      </c>
      <c r="G489" s="708" t="s">
        <v>2261</v>
      </c>
      <c r="H489" s="657" t="s">
        <v>2997</v>
      </c>
      <c r="I489" s="656"/>
      <c r="J489" s="656"/>
      <c r="K489" s="656"/>
      <c r="L489" s="149" t="str">
        <f t="shared" si="35"/>
        <v>51C</v>
      </c>
      <c r="M489" s="150" t="str">
        <f t="shared" si="36"/>
        <v>UNIFORMES - USAGE BMW</v>
      </c>
      <c r="N489" s="151">
        <f>+IF(OR($Q489=Parametres!$G$2,$Q489=Parametres!$G$3),I489,C489)</f>
        <v>79.98</v>
      </c>
      <c r="O489" s="151">
        <f>+IF(OR($Q489=Parametres!$G$2,$Q489=Parametres!$G$3),J489,D489)</f>
        <v>0</v>
      </c>
      <c r="P489" s="151">
        <f>+IF(OR($Q489=Parametres!$G$2,$Q489=Parametres!$G$3),K489,E489)</f>
        <v>79.98</v>
      </c>
      <c r="Q489" s="150" t="str">
        <f t="shared" si="37"/>
        <v>7-Dépenses</v>
      </c>
      <c r="R489" s="149" t="str">
        <f t="shared" si="38"/>
        <v>51</v>
      </c>
      <c r="S489" s="150" t="str">
        <f t="shared" si="39"/>
        <v>_</v>
      </c>
      <c r="T489" s="152" t="str">
        <f>+VLOOKUP($L489,Data_Validation!$A:$D,1,0)</f>
        <v>51C</v>
      </c>
      <c r="U489" s="152" t="str">
        <f>+VLOOKUP($L489,Data_Validation!$A:$D,3,0)</f>
        <v>Véhicules usagés</v>
      </c>
      <c r="V489" s="152" t="str">
        <f>+VLOOKUP($L489,Data_Validation!$A:$D,4,0)</f>
        <v>Uniformes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1455</v>
      </c>
      <c r="B490" s="708" t="s">
        <v>683</v>
      </c>
      <c r="C490" s="710">
        <v>150.55000000000001</v>
      </c>
      <c r="D490" s="710">
        <v>0</v>
      </c>
      <c r="E490" s="710">
        <v>150.55000000000001</v>
      </c>
      <c r="F490" s="708" t="s">
        <v>2228</v>
      </c>
      <c r="G490" s="708" t="s">
        <v>2258</v>
      </c>
      <c r="H490" s="664" t="s">
        <v>2997</v>
      </c>
      <c r="I490" s="663"/>
      <c r="J490" s="663"/>
      <c r="K490" s="663"/>
      <c r="L490" s="149" t="str">
        <f t="shared" si="35"/>
        <v>61C</v>
      </c>
      <c r="M490" s="150" t="str">
        <f t="shared" si="36"/>
        <v>AUTRES FOURNITURES - USAGE BMW</v>
      </c>
      <c r="N490" s="151">
        <f>+IF(OR($Q490=Parametres!$G$2,$Q490=Parametres!$G$3),I490,C490)</f>
        <v>150.55000000000001</v>
      </c>
      <c r="O490" s="151">
        <f>+IF(OR($Q490=Parametres!$G$2,$Q490=Parametres!$G$3),J490,D490)</f>
        <v>0</v>
      </c>
      <c r="P490" s="151">
        <f>+IF(OR($Q490=Parametres!$G$2,$Q490=Parametres!$G$3),K490,E490)</f>
        <v>150.55000000000001</v>
      </c>
      <c r="Q490" s="150" t="str">
        <f t="shared" si="37"/>
        <v>7-Dépenses</v>
      </c>
      <c r="R490" s="149" t="str">
        <f t="shared" si="38"/>
        <v>61</v>
      </c>
      <c r="S490" s="150" t="str">
        <f t="shared" si="39"/>
        <v>_</v>
      </c>
      <c r="T490" s="152" t="str">
        <f>+VLOOKUP($L490,Data_Validation!$A:$D,1,0)</f>
        <v>61C</v>
      </c>
      <c r="U490" s="152" t="str">
        <f>+VLOOKUP($L490,Data_Validation!$A:$D,3,0)</f>
        <v>Véhicules usagés</v>
      </c>
      <c r="V490" s="152" t="str">
        <f>+VLOOKUP($L490,Data_Validation!$A:$D,4,0)</f>
        <v>fournitures autres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1607</v>
      </c>
      <c r="B491" s="708" t="s">
        <v>771</v>
      </c>
      <c r="C491" s="710">
        <v>152.6</v>
      </c>
      <c r="D491" s="710">
        <v>16.399999999999999</v>
      </c>
      <c r="E491" s="710">
        <v>169</v>
      </c>
      <c r="F491" s="708" t="s">
        <v>2228</v>
      </c>
      <c r="G491" s="708" t="s">
        <v>2260</v>
      </c>
      <c r="H491" s="664" t="s">
        <v>2997</v>
      </c>
      <c r="I491" s="663"/>
      <c r="J491" s="663"/>
      <c r="K491" s="663"/>
      <c r="L491" s="149" t="str">
        <f t="shared" si="35"/>
        <v>92C</v>
      </c>
      <c r="M491" s="150" t="str">
        <f t="shared" si="36"/>
        <v>LOCATION EQUIP. - USAGE BMW</v>
      </c>
      <c r="N491" s="151">
        <f>+IF(OR($Q491=Parametres!$G$2,$Q491=Parametres!$G$3),I491,C491)</f>
        <v>152.6</v>
      </c>
      <c r="O491" s="151">
        <f>+IF(OR($Q491=Parametres!$G$2,$Q491=Parametres!$G$3),J491,D491)</f>
        <v>16.399999999999999</v>
      </c>
      <c r="P491" s="151">
        <f>+IF(OR($Q491=Parametres!$G$2,$Q491=Parametres!$G$3),K491,E491)</f>
        <v>169</v>
      </c>
      <c r="Q491" s="150" t="str">
        <f t="shared" si="37"/>
        <v>7-Dépenses</v>
      </c>
      <c r="R491" s="149" t="str">
        <f t="shared" si="38"/>
        <v>92</v>
      </c>
      <c r="S491" s="150" t="str">
        <f t="shared" si="39"/>
        <v>_</v>
      </c>
      <c r="T491" s="152" t="str">
        <f>+VLOOKUP($L491,Data_Validation!$A:$D,1,0)</f>
        <v>92C</v>
      </c>
      <c r="U491" s="152" t="str">
        <f>+VLOOKUP($L491,Data_Validation!$A:$D,3,0)</f>
        <v>Véhicules usagés</v>
      </c>
      <c r="V491" s="152" t="str">
        <f>+VLOOKUP($L491,Data_Validation!$A:$D,4,0)</f>
        <v>Location équipement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1664</v>
      </c>
      <c r="B492" s="708" t="s">
        <v>772</v>
      </c>
      <c r="C492" s="709">
        <v>159.96</v>
      </c>
      <c r="D492" s="709">
        <v>290.45</v>
      </c>
      <c r="E492" s="709">
        <v>450.41</v>
      </c>
      <c r="F492" s="708" t="s">
        <v>2228</v>
      </c>
      <c r="G492" s="708" t="s">
        <v>2261</v>
      </c>
      <c r="H492" s="709" t="s">
        <v>2997</v>
      </c>
      <c r="I492" s="710"/>
      <c r="J492" s="710"/>
      <c r="K492" s="710"/>
      <c r="L492" s="149" t="str">
        <f t="shared" si="35"/>
        <v>51G</v>
      </c>
      <c r="M492" s="150" t="str">
        <f t="shared" si="36"/>
        <v>UNIFOMRES - PIECE BMW</v>
      </c>
      <c r="N492" s="151">
        <f>+IF(OR($Q492=Parametres!$G$2,$Q492=Parametres!$G$3),I492,C492)</f>
        <v>159.96</v>
      </c>
      <c r="O492" s="151">
        <f>+IF(OR($Q492=Parametres!$G$2,$Q492=Parametres!$G$3),J492,D492)</f>
        <v>290.45</v>
      </c>
      <c r="P492" s="151">
        <f>+IF(OR($Q492=Parametres!$G$2,$Q492=Parametres!$G$3),K492,E492)</f>
        <v>450.41</v>
      </c>
      <c r="Q492" s="150" t="str">
        <f t="shared" si="37"/>
        <v>7-Dépenses</v>
      </c>
      <c r="R492" s="149" t="str">
        <f t="shared" si="38"/>
        <v>51</v>
      </c>
      <c r="S492" s="150" t="str">
        <f t="shared" si="39"/>
        <v>_</v>
      </c>
      <c r="T492" s="152" t="str">
        <f>+VLOOKUP($L492,Data_Validation!$A:$D,1,0)</f>
        <v>51G</v>
      </c>
      <c r="U492" s="152" t="str">
        <f>+VLOOKUP($L492,Data_Validation!$A:$D,3,0)</f>
        <v>pièces</v>
      </c>
      <c r="V492" s="152" t="str">
        <f>+VLOOKUP($L492,Data_Validation!$A:$D,4,0)</f>
        <v>Uniformes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1456</v>
      </c>
      <c r="B493" s="708" t="s">
        <v>684</v>
      </c>
      <c r="C493" s="710">
        <v>173.62</v>
      </c>
      <c r="D493" s="710">
        <v>0</v>
      </c>
      <c r="E493" s="710">
        <v>173.62</v>
      </c>
      <c r="F493" s="708" t="s">
        <v>2228</v>
      </c>
      <c r="G493" s="708" t="s">
        <v>2258</v>
      </c>
      <c r="H493" s="657" t="s">
        <v>2997</v>
      </c>
      <c r="I493" s="656"/>
      <c r="J493" s="656"/>
      <c r="K493" s="656"/>
      <c r="L493" s="149" t="str">
        <f t="shared" si="35"/>
        <v>61G</v>
      </c>
      <c r="M493" s="150" t="str">
        <f t="shared" si="36"/>
        <v>AUTRES FOURNITURES - PIECE BMW</v>
      </c>
      <c r="N493" s="151">
        <f>+IF(OR($Q493=Parametres!$G$2,$Q493=Parametres!$G$3),I493,C493)</f>
        <v>173.62</v>
      </c>
      <c r="O493" s="151">
        <f>+IF(OR($Q493=Parametres!$G$2,$Q493=Parametres!$G$3),J493,D493)</f>
        <v>0</v>
      </c>
      <c r="P493" s="151">
        <f>+IF(OR($Q493=Parametres!$G$2,$Q493=Parametres!$G$3),K493,E493)</f>
        <v>173.62</v>
      </c>
      <c r="Q493" s="150" t="str">
        <f t="shared" si="37"/>
        <v>7-Dépenses</v>
      </c>
      <c r="R493" s="149" t="str">
        <f t="shared" si="38"/>
        <v>61</v>
      </c>
      <c r="S493" s="150" t="str">
        <f t="shared" si="39"/>
        <v>_</v>
      </c>
      <c r="T493" s="152" t="str">
        <f>+VLOOKUP($L493,Data_Validation!$A:$D,1,0)</f>
        <v>61G</v>
      </c>
      <c r="U493" s="152" t="str">
        <f>+VLOOKUP($L493,Data_Validation!$A:$D,3,0)</f>
        <v>pièces</v>
      </c>
      <c r="V493" s="152" t="str">
        <f>+VLOOKUP($L493,Data_Validation!$A:$D,4,0)</f>
        <v>fournitures autres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1194</v>
      </c>
      <c r="B494" s="708" t="s">
        <v>833</v>
      </c>
      <c r="C494" s="710">
        <v>289.95</v>
      </c>
      <c r="D494" s="710">
        <v>239.25</v>
      </c>
      <c r="E494" s="710">
        <v>529.20000000000005</v>
      </c>
      <c r="F494" s="708" t="s">
        <v>2228</v>
      </c>
      <c r="G494" s="708" t="s">
        <v>2270</v>
      </c>
      <c r="H494" s="657" t="s">
        <v>2997</v>
      </c>
      <c r="I494" s="656"/>
      <c r="J494" s="656"/>
      <c r="K494" s="656"/>
      <c r="L494" s="149" t="str">
        <f t="shared" si="35"/>
        <v>76C</v>
      </c>
      <c r="M494" s="150" t="str">
        <f t="shared" si="36"/>
        <v>FORMATION - USAGE BMW</v>
      </c>
      <c r="N494" s="151">
        <f>+IF(OR($Q494=Parametres!$G$2,$Q494=Parametres!$G$3),I494,C494)</f>
        <v>289.95</v>
      </c>
      <c r="O494" s="151">
        <f>+IF(OR($Q494=Parametres!$G$2,$Q494=Parametres!$G$3),J494,D494)</f>
        <v>239.25</v>
      </c>
      <c r="P494" s="151">
        <f>+IF(OR($Q494=Parametres!$G$2,$Q494=Parametres!$G$3),K494,E494)</f>
        <v>529.20000000000005</v>
      </c>
      <c r="Q494" s="150" t="str">
        <f t="shared" si="37"/>
        <v>7-Dépenses</v>
      </c>
      <c r="R494" s="149" t="str">
        <f t="shared" si="38"/>
        <v>76</v>
      </c>
      <c r="S494" s="150" t="str">
        <f t="shared" si="39"/>
        <v>_</v>
      </c>
      <c r="T494" s="152" t="str">
        <f>+VLOOKUP($L494,Data_Validation!$A:$D,1,0)</f>
        <v>76C</v>
      </c>
      <c r="U494" s="152" t="str">
        <f>+VLOOKUP($L494,Data_Validation!$A:$D,3,0)</f>
        <v>Véhicules usagés</v>
      </c>
      <c r="V494" s="152" t="str">
        <f>+VLOOKUP($L494,Data_Validation!$A:$D,4,0)</f>
        <v>Formation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1610</v>
      </c>
      <c r="B495" s="708" t="s">
        <v>774</v>
      </c>
      <c r="C495" s="710">
        <v>305.14999999999998</v>
      </c>
      <c r="D495" s="710">
        <v>32.799999999999997</v>
      </c>
      <c r="E495" s="710">
        <v>337.95</v>
      </c>
      <c r="F495" s="708" t="s">
        <v>2228</v>
      </c>
      <c r="G495" s="708" t="s">
        <v>2260</v>
      </c>
      <c r="H495" s="657" t="s">
        <v>2997</v>
      </c>
      <c r="I495" s="656"/>
      <c r="J495" s="656"/>
      <c r="K495" s="656"/>
      <c r="L495" s="149" t="str">
        <f t="shared" si="35"/>
        <v>92G</v>
      </c>
      <c r="M495" s="150" t="str">
        <f t="shared" si="36"/>
        <v>LOCATION EQUIP. - PIECE BMW</v>
      </c>
      <c r="N495" s="151">
        <f>+IF(OR($Q495=Parametres!$G$2,$Q495=Parametres!$G$3),I495,C495)</f>
        <v>305.14999999999998</v>
      </c>
      <c r="O495" s="151">
        <f>+IF(OR($Q495=Parametres!$G$2,$Q495=Parametres!$G$3),J495,D495)</f>
        <v>32.799999999999997</v>
      </c>
      <c r="P495" s="151">
        <f>+IF(OR($Q495=Parametres!$G$2,$Q495=Parametres!$G$3),K495,E495)</f>
        <v>337.95</v>
      </c>
      <c r="Q495" s="150" t="str">
        <f t="shared" si="37"/>
        <v>7-Dépenses</v>
      </c>
      <c r="R495" s="149" t="str">
        <f t="shared" si="38"/>
        <v>92</v>
      </c>
      <c r="S495" s="150" t="str">
        <f t="shared" si="39"/>
        <v>_</v>
      </c>
      <c r="T495" s="152" t="str">
        <f>+VLOOKUP($L495,Data_Validation!$A:$D,1,0)</f>
        <v>92G</v>
      </c>
      <c r="U495" s="152" t="str">
        <f>+VLOOKUP($L495,Data_Validation!$A:$D,3,0)</f>
        <v>pièces</v>
      </c>
      <c r="V495" s="152" t="str">
        <f>+VLOOKUP($L495,Data_Validation!$A:$D,4,0)</f>
        <v>Location équipement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1873</v>
      </c>
      <c r="B496" s="708" t="s">
        <v>781</v>
      </c>
      <c r="C496" s="709">
        <v>359.91</v>
      </c>
      <c r="D496" s="709">
        <v>0</v>
      </c>
      <c r="E496" s="709">
        <v>359.91</v>
      </c>
      <c r="F496" s="708" t="s">
        <v>2228</v>
      </c>
      <c r="G496" s="708" t="s">
        <v>2261</v>
      </c>
      <c r="H496" s="709" t="s">
        <v>2997</v>
      </c>
      <c r="I496" s="710"/>
      <c r="J496" s="710"/>
      <c r="K496" s="710"/>
      <c r="L496" s="149" t="str">
        <f t="shared" si="35"/>
        <v>51A</v>
      </c>
      <c r="M496" s="150" t="str">
        <f t="shared" si="36"/>
        <v>UNIFORMES - NEUF BMW</v>
      </c>
      <c r="N496" s="151">
        <f>+IF(OR($Q496=Parametres!$G$2,$Q496=Parametres!$G$3),I496,C496)</f>
        <v>359.91</v>
      </c>
      <c r="O496" s="497">
        <f>+IF(OR($Q496=Parametres!$G$2,$Q496=Parametres!$G$3),J496,D496)</f>
        <v>0</v>
      </c>
      <c r="P496" s="151">
        <f>+IF(OR($Q496=Parametres!$G$2,$Q496=Parametres!$G$3),K496,E496)</f>
        <v>359.91</v>
      </c>
      <c r="Q496" s="150" t="str">
        <f t="shared" si="37"/>
        <v>7-Dépenses</v>
      </c>
      <c r="R496" s="149" t="str">
        <f t="shared" si="38"/>
        <v>51</v>
      </c>
      <c r="S496" s="150" t="str">
        <f t="shared" si="39"/>
        <v>_</v>
      </c>
      <c r="T496" s="152" t="str">
        <f>+VLOOKUP($L496,Data_Validation!$A:$D,1,0)</f>
        <v>51A</v>
      </c>
      <c r="U496" s="152" t="str">
        <f>+VLOOKUP($L496,Data_Validation!$A:$D,3,0)</f>
        <v>Véhicules neufs</v>
      </c>
      <c r="V496" s="152" t="str">
        <f>+VLOOKUP($L496,Data_Validation!$A:$D,4,0)</f>
        <v>Uniformes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1454</v>
      </c>
      <c r="B497" s="708" t="s">
        <v>682</v>
      </c>
      <c r="C497" s="710">
        <v>440.74</v>
      </c>
      <c r="D497" s="710">
        <v>385.2</v>
      </c>
      <c r="E497" s="710">
        <v>825.94</v>
      </c>
      <c r="F497" s="708" t="s">
        <v>2228</v>
      </c>
      <c r="G497" s="708" t="s">
        <v>2258</v>
      </c>
      <c r="H497" s="600" t="s">
        <v>2997</v>
      </c>
      <c r="I497" s="601"/>
      <c r="J497" s="601"/>
      <c r="K497" s="601"/>
      <c r="L497" s="149" t="str">
        <f t="shared" si="35"/>
        <v>61A</v>
      </c>
      <c r="M497" s="150" t="str">
        <f t="shared" si="36"/>
        <v>AUTRES FOURNITURES - NEUF BMW</v>
      </c>
      <c r="N497" s="151">
        <f>+IF(OR($Q497=Parametres!$G$2,$Q497=Parametres!$G$3),I497,C497)</f>
        <v>440.74</v>
      </c>
      <c r="O497" s="497">
        <f>+IF(OR($Q497=Parametres!$G$2,$Q497=Parametres!$G$3),J497,D497)</f>
        <v>385.2</v>
      </c>
      <c r="P497" s="151">
        <f>+IF(OR($Q497=Parametres!$G$2,$Q497=Parametres!$G$3),K497,E497)</f>
        <v>825.94</v>
      </c>
      <c r="Q497" s="150" t="str">
        <f t="shared" si="37"/>
        <v>7-Dépenses</v>
      </c>
      <c r="R497" s="149" t="str">
        <f t="shared" si="38"/>
        <v>61</v>
      </c>
      <c r="S497" s="150" t="str">
        <f t="shared" si="39"/>
        <v>_</v>
      </c>
      <c r="T497" s="152" t="str">
        <f>+VLOOKUP($L497,Data_Validation!$A:$D,1,0)</f>
        <v>61A</v>
      </c>
      <c r="U497" s="152" t="str">
        <f>+VLOOKUP($L497,Data_Validation!$A:$D,3,0)</f>
        <v>Véhicules neufs</v>
      </c>
      <c r="V497" s="152" t="str">
        <f>+VLOOKUP($L497,Data_Validation!$A:$D,4,0)</f>
        <v>fournitures autres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1239</v>
      </c>
      <c r="B498" s="708" t="s">
        <v>776</v>
      </c>
      <c r="C498" s="710">
        <v>506.39</v>
      </c>
      <c r="D498" s="710">
        <v>16.45</v>
      </c>
      <c r="E498" s="710">
        <v>522.84</v>
      </c>
      <c r="F498" s="708" t="s">
        <v>2228</v>
      </c>
      <c r="G498" s="708" t="s">
        <v>2263</v>
      </c>
      <c r="H498" s="657" t="s">
        <v>2997</v>
      </c>
      <c r="I498" s="656"/>
      <c r="J498" s="656"/>
      <c r="K498" s="656"/>
      <c r="L498" s="149" t="str">
        <f t="shared" si="35"/>
        <v>72C</v>
      </c>
      <c r="M498" s="150" t="str">
        <f t="shared" si="36"/>
        <v>COTIS. &amp; ABONN. - USAGE BMW</v>
      </c>
      <c r="N498" s="151">
        <f>+IF(OR($Q498=Parametres!$G$2,$Q498=Parametres!$G$3),I498,C498)</f>
        <v>506.39</v>
      </c>
      <c r="O498" s="151">
        <f>+IF(OR($Q498=Parametres!$G$2,$Q498=Parametres!$G$3),J498,D498)</f>
        <v>16.45</v>
      </c>
      <c r="P498" s="151">
        <f>+IF(OR($Q498=Parametres!$G$2,$Q498=Parametres!$G$3),K498,E498)</f>
        <v>522.84</v>
      </c>
      <c r="Q498" s="150" t="str">
        <f t="shared" si="37"/>
        <v>7-Dépenses</v>
      </c>
      <c r="R498" s="149" t="str">
        <f t="shared" si="38"/>
        <v>72</v>
      </c>
      <c r="S498" s="150" t="str">
        <f t="shared" si="39"/>
        <v>_</v>
      </c>
      <c r="T498" s="152" t="str">
        <f>+VLOOKUP($L498,Data_Validation!$A:$D,1,0)</f>
        <v>72C</v>
      </c>
      <c r="U498" s="152" t="str">
        <f>+VLOOKUP($L498,Data_Validation!$A:$D,3,0)</f>
        <v>Véhicules usagés</v>
      </c>
      <c r="V498" s="152" t="str">
        <f>+VLOOKUP($L498,Data_Validation!$A:$D,4,0)</f>
        <v>divers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1174</v>
      </c>
      <c r="B499" s="708" t="s">
        <v>856</v>
      </c>
      <c r="C499" s="710">
        <v>580</v>
      </c>
      <c r="D499" s="710">
        <v>478.51</v>
      </c>
      <c r="E499" s="710">
        <v>1058.51</v>
      </c>
      <c r="F499" s="708" t="s">
        <v>2228</v>
      </c>
      <c r="G499" s="708" t="s">
        <v>2270</v>
      </c>
      <c r="H499" s="600" t="s">
        <v>2997</v>
      </c>
      <c r="I499" s="601"/>
      <c r="J499" s="601"/>
      <c r="K499" s="601"/>
      <c r="L499" s="149" t="str">
        <f t="shared" si="35"/>
        <v>76G</v>
      </c>
      <c r="M499" s="150" t="str">
        <f t="shared" si="36"/>
        <v>FORMATION - PIECE BMW</v>
      </c>
      <c r="N499" s="151">
        <f>+IF(OR($Q499=Parametres!$G$2,$Q499=Parametres!$G$3),I499,C499)</f>
        <v>580</v>
      </c>
      <c r="O499" s="151">
        <f>+IF(OR($Q499=Parametres!$G$2,$Q499=Parametres!$G$3),J499,D499)</f>
        <v>478.51</v>
      </c>
      <c r="P499" s="151">
        <f>+IF(OR($Q499=Parametres!$G$2,$Q499=Parametres!$G$3),K499,E499)</f>
        <v>1058.51</v>
      </c>
      <c r="Q499" s="150" t="str">
        <f t="shared" si="37"/>
        <v>7-Dépenses</v>
      </c>
      <c r="R499" s="149" t="str">
        <f t="shared" si="38"/>
        <v>76</v>
      </c>
      <c r="S499" s="150" t="str">
        <f t="shared" si="39"/>
        <v>_</v>
      </c>
      <c r="T499" s="152" t="str">
        <f>+VLOOKUP($L499,Data_Validation!$A:$D,1,0)</f>
        <v>76G</v>
      </c>
      <c r="U499" s="152" t="str">
        <f>+VLOOKUP($L499,Data_Validation!$A:$D,3,0)</f>
        <v>pièces</v>
      </c>
      <c r="V499" s="152" t="str">
        <f>+VLOOKUP($L499,Data_Validation!$A:$D,4,0)</f>
        <v>Formation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1615</v>
      </c>
      <c r="B500" s="708" t="s">
        <v>789</v>
      </c>
      <c r="C500" s="710">
        <v>686.6</v>
      </c>
      <c r="D500" s="710">
        <v>73.8</v>
      </c>
      <c r="E500" s="710">
        <v>760.4</v>
      </c>
      <c r="F500" s="708" t="s">
        <v>2228</v>
      </c>
      <c r="G500" s="708" t="s">
        <v>2260</v>
      </c>
      <c r="H500" s="709" t="s">
        <v>2997</v>
      </c>
      <c r="I500" s="709"/>
      <c r="J500" s="709"/>
      <c r="K500" s="709"/>
      <c r="L500" s="149" t="str">
        <f t="shared" si="35"/>
        <v>92A</v>
      </c>
      <c r="M500" s="150" t="str">
        <f t="shared" si="36"/>
        <v>LOCATION EQUIP. - NEUF BMW</v>
      </c>
      <c r="N500" s="151">
        <f>+IF(OR($Q500=Parametres!$G$2,$Q500=Parametres!$G$3),I500,C500)</f>
        <v>686.6</v>
      </c>
      <c r="O500" s="151">
        <f>+IF(OR($Q500=Parametres!$G$2,$Q500=Parametres!$G$3),J500,D500)</f>
        <v>73.8</v>
      </c>
      <c r="P500" s="151">
        <f>+IF(OR($Q500=Parametres!$G$2,$Q500=Parametres!$G$3),K500,E500)</f>
        <v>760.4</v>
      </c>
      <c r="Q500" s="150" t="str">
        <f t="shared" si="37"/>
        <v>7-Dépenses</v>
      </c>
      <c r="R500" s="149" t="str">
        <f t="shared" si="38"/>
        <v>92</v>
      </c>
      <c r="S500" s="150" t="str">
        <f t="shared" si="39"/>
        <v>_</v>
      </c>
      <c r="T500" s="152" t="str">
        <f>+VLOOKUP($L500,Data_Validation!$A:$D,1,0)</f>
        <v>92A</v>
      </c>
      <c r="U500" s="152" t="str">
        <f>+VLOOKUP($L500,Data_Validation!$A:$D,3,0)</f>
        <v>Véhicules neufs</v>
      </c>
      <c r="V500" s="152" t="str">
        <f>+VLOOKUP($L500,Data_Validation!$A:$D,4,0)</f>
        <v>Location équipement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1627</v>
      </c>
      <c r="B501" s="708" t="s">
        <v>798</v>
      </c>
      <c r="C501" s="710">
        <v>827.13</v>
      </c>
      <c r="D501" s="710">
        <v>65.12</v>
      </c>
      <c r="E501" s="710">
        <v>892.25</v>
      </c>
      <c r="F501" s="708" t="s">
        <v>2228</v>
      </c>
      <c r="G501" s="708" t="s">
        <v>2259</v>
      </c>
      <c r="H501" s="709" t="s">
        <v>2997</v>
      </c>
      <c r="I501" s="709"/>
      <c r="J501" s="709"/>
      <c r="K501" s="709"/>
      <c r="L501" s="149" t="str">
        <f t="shared" si="35"/>
        <v>75C</v>
      </c>
      <c r="M501" s="150" t="str">
        <f t="shared" si="36"/>
        <v>TELEPHONE - USAGE BMW</v>
      </c>
      <c r="N501" s="151">
        <f>+IF(OR($Q501=Parametres!$G$2,$Q501=Parametres!$G$3),I501,C501)</f>
        <v>827.13</v>
      </c>
      <c r="O501" s="151">
        <f>+IF(OR($Q501=Parametres!$G$2,$Q501=Parametres!$G$3),J501,D501)</f>
        <v>65.12</v>
      </c>
      <c r="P501" s="151">
        <f>+IF(OR($Q501=Parametres!$G$2,$Q501=Parametres!$G$3),K501,E501)</f>
        <v>892.25</v>
      </c>
      <c r="Q501" s="150" t="str">
        <f t="shared" si="37"/>
        <v>7-Dépenses</v>
      </c>
      <c r="R501" s="149" t="str">
        <f t="shared" si="38"/>
        <v>75</v>
      </c>
      <c r="S501" s="150" t="str">
        <f t="shared" si="39"/>
        <v>_</v>
      </c>
      <c r="T501" s="152" t="str">
        <f>+VLOOKUP($L501,Data_Validation!$A:$D,1,0)</f>
        <v>75C</v>
      </c>
      <c r="U501" s="152" t="str">
        <f>+VLOOKUP($L501,Data_Validation!$A:$D,3,0)</f>
        <v>Véhicules usagés</v>
      </c>
      <c r="V501" s="152" t="str">
        <f>+VLOOKUP($L501,Data_Validation!$A:$D,4,0)</f>
        <v>Téléphone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1611</v>
      </c>
      <c r="B502" s="708" t="s">
        <v>775</v>
      </c>
      <c r="C502" s="710">
        <v>857.53</v>
      </c>
      <c r="D502" s="710">
        <v>740.42</v>
      </c>
      <c r="E502" s="710">
        <v>1597.95</v>
      </c>
      <c r="F502" s="708" t="s">
        <v>2228</v>
      </c>
      <c r="G502" s="708" t="s">
        <v>2260</v>
      </c>
      <c r="H502" s="600" t="s">
        <v>2997</v>
      </c>
      <c r="I502" s="602"/>
      <c r="J502" s="602"/>
      <c r="K502" s="602"/>
      <c r="L502" s="149" t="str">
        <f t="shared" si="35"/>
        <v>92E</v>
      </c>
      <c r="M502" s="150" t="str">
        <f t="shared" si="36"/>
        <v>LOCATION EQUIP. - SERV. BMW</v>
      </c>
      <c r="N502" s="151">
        <f>+IF(OR($Q502=Parametres!$G$2,$Q502=Parametres!$G$3),I502,C502)</f>
        <v>857.53</v>
      </c>
      <c r="O502" s="151">
        <f>+IF(OR($Q502=Parametres!$G$2,$Q502=Parametres!$G$3),J502,D502)</f>
        <v>740.42</v>
      </c>
      <c r="P502" s="151">
        <f>+IF(OR($Q502=Parametres!$G$2,$Q502=Parametres!$G$3),K502,E502)</f>
        <v>1597.95</v>
      </c>
      <c r="Q502" s="150" t="str">
        <f t="shared" si="37"/>
        <v>7-Dépenses</v>
      </c>
      <c r="R502" s="149" t="str">
        <f t="shared" si="38"/>
        <v>92</v>
      </c>
      <c r="S502" s="150" t="str">
        <f t="shared" si="39"/>
        <v>_</v>
      </c>
      <c r="T502" s="152" t="str">
        <f>+VLOOKUP($L502,Data_Validation!$A:$D,1,0)</f>
        <v>92E</v>
      </c>
      <c r="U502" s="152" t="str">
        <f>+VLOOKUP($L502,Data_Validation!$A:$D,3,0)</f>
        <v>Service</v>
      </c>
      <c r="V502" s="152" t="str">
        <f>+VLOOKUP($L502,Data_Validation!$A:$D,4,0)</f>
        <v>Location équipement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1638</v>
      </c>
      <c r="B503" s="708" t="s">
        <v>873</v>
      </c>
      <c r="C503" s="710">
        <v>901.58</v>
      </c>
      <c r="D503" s="710">
        <v>189.95</v>
      </c>
      <c r="E503" s="710">
        <v>1091.53</v>
      </c>
      <c r="F503" s="708" t="s">
        <v>2228</v>
      </c>
      <c r="G503" s="708" t="s">
        <v>2257</v>
      </c>
      <c r="H503" s="664" t="s">
        <v>2997</v>
      </c>
      <c r="I503" s="663"/>
      <c r="J503" s="663"/>
      <c r="K503" s="663"/>
      <c r="L503" s="149" t="str">
        <f t="shared" si="35"/>
        <v>68G</v>
      </c>
      <c r="M503" s="150" t="str">
        <f t="shared" si="36"/>
        <v>TRAV. GRACIEUX - PIECE BMW</v>
      </c>
      <c r="N503" s="151">
        <f>+IF(OR($Q503=Parametres!$G$2,$Q503=Parametres!$G$3),I503,C503)</f>
        <v>901.58</v>
      </c>
      <c r="O503" s="151">
        <f>+IF(OR($Q503=Parametres!$G$2,$Q503=Parametres!$G$3),J503,D503)</f>
        <v>189.95</v>
      </c>
      <c r="P503" s="151">
        <f>+IF(OR($Q503=Parametres!$G$2,$Q503=Parametres!$G$3),K503,E503)</f>
        <v>1091.53</v>
      </c>
      <c r="Q503" s="150" t="str">
        <f t="shared" si="37"/>
        <v>7-Dépenses</v>
      </c>
      <c r="R503" s="149" t="str">
        <f t="shared" si="38"/>
        <v>68</v>
      </c>
      <c r="S503" s="150" t="str">
        <f t="shared" si="39"/>
        <v>_</v>
      </c>
      <c r="T503" s="152" t="str">
        <f>+VLOOKUP($L503,Data_Validation!$A:$D,1,0)</f>
        <v>68G</v>
      </c>
      <c r="U503" s="152" t="str">
        <f>+VLOOKUP($L503,Data_Validation!$A:$D,3,0)</f>
        <v>pièces</v>
      </c>
      <c r="V503" s="152" t="str">
        <f>+VLOOKUP($L503,Data_Validation!$A:$D,4,0)</f>
        <v>service gratuit 2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1237</v>
      </c>
      <c r="B504" s="708" t="s">
        <v>792</v>
      </c>
      <c r="C504" s="710">
        <v>1012.82</v>
      </c>
      <c r="D504" s="710">
        <v>32.9</v>
      </c>
      <c r="E504" s="710">
        <v>1045.72</v>
      </c>
      <c r="F504" s="708" t="s">
        <v>2228</v>
      </c>
      <c r="G504" s="708" t="s">
        <v>2263</v>
      </c>
      <c r="H504" s="657" t="s">
        <v>2997</v>
      </c>
      <c r="I504" s="656"/>
      <c r="J504" s="656"/>
      <c r="K504" s="656"/>
      <c r="L504" s="149" t="str">
        <f t="shared" si="35"/>
        <v>72G</v>
      </c>
      <c r="M504" s="150" t="str">
        <f t="shared" si="36"/>
        <v>COTIS. &amp; ABONN. - PIECE BMW</v>
      </c>
      <c r="N504" s="151">
        <f>+IF(OR($Q504=Parametres!$G$2,$Q504=Parametres!$G$3),I504,C504)</f>
        <v>1012.82</v>
      </c>
      <c r="O504" s="151">
        <f>+IF(OR($Q504=Parametres!$G$2,$Q504=Parametres!$G$3),J504,D504)</f>
        <v>32.9</v>
      </c>
      <c r="P504" s="151">
        <f>+IF(OR($Q504=Parametres!$G$2,$Q504=Parametres!$G$3),K504,E504)</f>
        <v>1045.72</v>
      </c>
      <c r="Q504" s="150" t="str">
        <f t="shared" si="37"/>
        <v>7-Dépenses</v>
      </c>
      <c r="R504" s="149" t="str">
        <f t="shared" si="38"/>
        <v>72</v>
      </c>
      <c r="S504" s="150" t="str">
        <f t="shared" si="39"/>
        <v>_</v>
      </c>
      <c r="T504" s="152" t="str">
        <f>+VLOOKUP($L504,Data_Validation!$A:$D,1,0)</f>
        <v>72G</v>
      </c>
      <c r="U504" s="152" t="str">
        <f>+VLOOKUP($L504,Data_Validation!$A:$D,3,0)</f>
        <v>pièces</v>
      </c>
      <c r="V504" s="152" t="str">
        <f>+VLOOKUP($L504,Data_Validation!$A:$D,4,0)</f>
        <v>divers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1621</v>
      </c>
      <c r="B505" s="708" t="s">
        <v>782</v>
      </c>
      <c r="C505" s="710">
        <v>1037.69</v>
      </c>
      <c r="D505" s="710">
        <v>169.18</v>
      </c>
      <c r="E505" s="710">
        <v>1206.8699999999999</v>
      </c>
      <c r="F505" s="708" t="s">
        <v>2228</v>
      </c>
      <c r="G505" s="708" t="s">
        <v>2262</v>
      </c>
      <c r="H505" s="600" t="s">
        <v>2997</v>
      </c>
      <c r="I505" s="602"/>
      <c r="J505" s="602"/>
      <c r="K505" s="602"/>
      <c r="L505" s="149" t="str">
        <f t="shared" si="35"/>
        <v>78C</v>
      </c>
      <c r="M505" s="150" t="str">
        <f t="shared" si="36"/>
        <v>TRANSPORT - USAGE BMW</v>
      </c>
      <c r="N505" s="151">
        <f>+IF(OR($Q505=Parametres!$G$2,$Q505=Parametres!$G$3),I505,C505)</f>
        <v>1037.69</v>
      </c>
      <c r="O505" s="151">
        <f>+IF(OR($Q505=Parametres!$G$2,$Q505=Parametres!$G$3),J505,D505)</f>
        <v>169.18</v>
      </c>
      <c r="P505" s="151">
        <f>+IF(OR($Q505=Parametres!$G$2,$Q505=Parametres!$G$3),K505,E505)</f>
        <v>1206.8699999999999</v>
      </c>
      <c r="Q505" s="150" t="str">
        <f t="shared" si="37"/>
        <v>7-Dépenses</v>
      </c>
      <c r="R505" s="149" t="str">
        <f t="shared" si="38"/>
        <v>78</v>
      </c>
      <c r="S505" s="150" t="str">
        <f t="shared" si="39"/>
        <v>_</v>
      </c>
      <c r="T505" s="152" t="str">
        <f>+VLOOKUP($L505,Data_Validation!$A:$D,1,0)</f>
        <v>78C</v>
      </c>
      <c r="U505" s="152" t="str">
        <f>+VLOOKUP($L505,Data_Validation!$A:$D,3,0)</f>
        <v>Véhicules usagés</v>
      </c>
      <c r="V505" s="152" t="str">
        <f>+VLOOKUP($L505,Data_Validation!$A:$D,4,0)</f>
        <v>Frais postaux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1236</v>
      </c>
      <c r="B506" s="708" t="s">
        <v>794</v>
      </c>
      <c r="C506" s="710">
        <v>1266.03</v>
      </c>
      <c r="D506" s="710">
        <v>41.12</v>
      </c>
      <c r="E506" s="710">
        <v>1307.1500000000001</v>
      </c>
      <c r="F506" s="708" t="s">
        <v>2228</v>
      </c>
      <c r="G506" s="708" t="s">
        <v>2263</v>
      </c>
      <c r="H506" s="664" t="s">
        <v>2997</v>
      </c>
      <c r="I506" s="663"/>
      <c r="J506" s="663"/>
      <c r="K506" s="663"/>
      <c r="L506" s="149" t="str">
        <f t="shared" si="35"/>
        <v>72E</v>
      </c>
      <c r="M506" s="150" t="str">
        <f t="shared" si="36"/>
        <v>COTIS. &amp; ABONN. - SERV. BMW</v>
      </c>
      <c r="N506" s="151">
        <f>+IF(OR($Q506=Parametres!$G$2,$Q506=Parametres!$G$3),I506,C506)</f>
        <v>1266.03</v>
      </c>
      <c r="O506" s="151">
        <f>+IF(OR($Q506=Parametres!$G$2,$Q506=Parametres!$G$3),J506,D506)</f>
        <v>41.12</v>
      </c>
      <c r="P506" s="151">
        <f>+IF(OR($Q506=Parametres!$G$2,$Q506=Parametres!$G$3),K506,E506)</f>
        <v>1307.1500000000001</v>
      </c>
      <c r="Q506" s="150" t="str">
        <f t="shared" si="37"/>
        <v>7-Dépenses</v>
      </c>
      <c r="R506" s="149" t="str">
        <f t="shared" si="38"/>
        <v>72</v>
      </c>
      <c r="S506" s="150" t="str">
        <f t="shared" si="39"/>
        <v>_</v>
      </c>
      <c r="T506" s="152" t="str">
        <f>+VLOOKUP($L506,Data_Validation!$A:$D,1,0)</f>
        <v>72E</v>
      </c>
      <c r="U506" s="152" t="str">
        <f>+VLOOKUP($L506,Data_Validation!$A:$D,3,0)</f>
        <v>Service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1201</v>
      </c>
      <c r="B507" s="708" t="s">
        <v>796</v>
      </c>
      <c r="C507" s="710">
        <v>1328.55</v>
      </c>
      <c r="D507" s="710">
        <v>220.84</v>
      </c>
      <c r="E507" s="710">
        <v>1549.39</v>
      </c>
      <c r="F507" s="708" t="s">
        <v>2228</v>
      </c>
      <c r="G507" s="708" t="s">
        <v>2266</v>
      </c>
      <c r="H507" s="664" t="s">
        <v>2997</v>
      </c>
      <c r="I507" s="664"/>
      <c r="J507" s="664"/>
      <c r="K507" s="664"/>
      <c r="L507" s="149" t="str">
        <f t="shared" si="35"/>
        <v>71C</v>
      </c>
      <c r="M507" s="150" t="str">
        <f t="shared" si="36"/>
        <v>FRAIS REPRESENTATION - USAGE BMW</v>
      </c>
      <c r="N507" s="151">
        <f>+IF(OR($Q507=Parametres!$G$2,$Q507=Parametres!$G$3),I507,C507)</f>
        <v>1328.55</v>
      </c>
      <c r="O507" s="151">
        <f>+IF(OR($Q507=Parametres!$G$2,$Q507=Parametres!$G$3),J507,D507)</f>
        <v>220.84</v>
      </c>
      <c r="P507" s="151">
        <f>+IF(OR($Q507=Parametres!$G$2,$Q507=Parametres!$G$3),K507,E507)</f>
        <v>1549.39</v>
      </c>
      <c r="Q507" s="150" t="str">
        <f t="shared" si="37"/>
        <v>7-Dépenses</v>
      </c>
      <c r="R507" s="149" t="str">
        <f t="shared" si="38"/>
        <v>71</v>
      </c>
      <c r="S507" s="150" t="str">
        <f t="shared" si="39"/>
        <v>_</v>
      </c>
      <c r="T507" s="152" t="str">
        <f>+VLOOKUP($L507,Data_Validation!$A:$D,1,0)</f>
        <v>71C</v>
      </c>
      <c r="U507" s="152" t="str">
        <f>+VLOOKUP($L507,Data_Validation!$A:$D,3,0)</f>
        <v>Véhicules usagés</v>
      </c>
      <c r="V507" s="152" t="str">
        <f>+VLOOKUP($L507,Data_Validation!$A:$D,4,0)</f>
        <v>Frais de déplacement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1648</v>
      </c>
      <c r="B508" s="708" t="s">
        <v>816</v>
      </c>
      <c r="C508" s="710">
        <v>1444.32</v>
      </c>
      <c r="D508" s="710">
        <v>115.51</v>
      </c>
      <c r="E508" s="710">
        <v>1559.83</v>
      </c>
      <c r="F508" s="708" t="s">
        <v>2228</v>
      </c>
      <c r="G508" s="708" t="s">
        <v>2259</v>
      </c>
      <c r="H508" s="602" t="s">
        <v>2997</v>
      </c>
      <c r="I508" s="602"/>
      <c r="J508" s="602"/>
      <c r="K508" s="602"/>
      <c r="L508" s="149" t="str">
        <f t="shared" si="35"/>
        <v>75G</v>
      </c>
      <c r="M508" s="150" t="str">
        <f t="shared" si="36"/>
        <v>TELEPHONE - PIECE BMW</v>
      </c>
      <c r="N508" s="151">
        <f>+IF(OR($Q508=Parametres!$G$2,$Q508=Parametres!$G$3),I508,C508)</f>
        <v>1444.32</v>
      </c>
      <c r="O508" s="151">
        <f>+IF(OR($Q508=Parametres!$G$2,$Q508=Parametres!$G$3),J508,D508)</f>
        <v>115.51</v>
      </c>
      <c r="P508" s="151">
        <f>+IF(OR($Q508=Parametres!$G$2,$Q508=Parametres!$G$3),K508,E508)</f>
        <v>1559.83</v>
      </c>
      <c r="Q508" s="150" t="str">
        <f t="shared" si="37"/>
        <v>7-Dépenses</v>
      </c>
      <c r="R508" s="149" t="str">
        <f t="shared" si="38"/>
        <v>75</v>
      </c>
      <c r="S508" s="150" t="str">
        <f t="shared" si="39"/>
        <v>_</v>
      </c>
      <c r="T508" s="152" t="str">
        <f>+VLOOKUP($L508,Data_Validation!$A:$D,1,0)</f>
        <v>75G</v>
      </c>
      <c r="U508" s="152" t="str">
        <f>+VLOOKUP($L508,Data_Validation!$A:$D,3,0)</f>
        <v>pièces</v>
      </c>
      <c r="V508" s="152" t="str">
        <f>+VLOOKUP($L508,Data_Validation!$A:$D,4,0)</f>
        <v>Téléphone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1177</v>
      </c>
      <c r="B509" s="708" t="s">
        <v>824</v>
      </c>
      <c r="C509" s="710">
        <v>1456.64</v>
      </c>
      <c r="D509" s="710">
        <v>116.3</v>
      </c>
      <c r="E509" s="710">
        <v>1572.94</v>
      </c>
      <c r="F509" s="708" t="s">
        <v>2228</v>
      </c>
      <c r="G509" s="708" t="s">
        <v>2271</v>
      </c>
      <c r="H509" s="709" t="s">
        <v>2997</v>
      </c>
      <c r="I509" s="709"/>
      <c r="J509" s="709"/>
      <c r="K509" s="709"/>
      <c r="L509" s="149" t="str">
        <f t="shared" si="35"/>
        <v>77C</v>
      </c>
      <c r="M509" s="150" t="str">
        <f t="shared" si="36"/>
        <v>FRAIS DIVERS - USAGE BMW</v>
      </c>
      <c r="N509" s="151">
        <f>+IF(OR($Q509=Parametres!$G$2,$Q509=Parametres!$G$3),I509,C509)</f>
        <v>1456.64</v>
      </c>
      <c r="O509" s="151">
        <f>+IF(OR($Q509=Parametres!$G$2,$Q509=Parametres!$G$3),J509,D509)</f>
        <v>116.3</v>
      </c>
      <c r="P509" s="151">
        <f>+IF(OR($Q509=Parametres!$G$2,$Q509=Parametres!$G$3),K509,E509)</f>
        <v>1572.94</v>
      </c>
      <c r="Q509" s="150" t="str">
        <f t="shared" si="37"/>
        <v>7-Dépenses</v>
      </c>
      <c r="R509" s="149" t="str">
        <f t="shared" si="38"/>
        <v>77</v>
      </c>
      <c r="S509" s="150" t="str">
        <f t="shared" si="39"/>
        <v>_</v>
      </c>
      <c r="T509" s="152" t="str">
        <f>+VLOOKUP($L509,Data_Validation!$A:$D,1,0)</f>
        <v>77C</v>
      </c>
      <c r="U509" s="152" t="str">
        <f>+VLOOKUP($L509,Data_Validation!$A:$D,3,0)</f>
        <v>Véhicules usagés</v>
      </c>
      <c r="V509" s="152" t="str">
        <f>+VLOOKUP($L509,Data_Validation!$A:$D,4,0)</f>
        <v>divers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1655</v>
      </c>
      <c r="B510" s="708" t="s">
        <v>818</v>
      </c>
      <c r="C510" s="710">
        <v>1476.25</v>
      </c>
      <c r="D510" s="710">
        <v>34.83</v>
      </c>
      <c r="E510" s="710">
        <v>1511.08</v>
      </c>
      <c r="F510" s="708" t="s">
        <v>2228</v>
      </c>
      <c r="G510" s="708" t="s">
        <v>2262</v>
      </c>
      <c r="H510" s="664" t="s">
        <v>2997</v>
      </c>
      <c r="I510" s="663"/>
      <c r="J510" s="663"/>
      <c r="K510" s="663"/>
      <c r="L510" s="149" t="str">
        <f t="shared" si="35"/>
        <v>78A</v>
      </c>
      <c r="M510" s="150" t="str">
        <f t="shared" si="36"/>
        <v>TRANSPORT - NEUF BMW</v>
      </c>
      <c r="N510" s="151">
        <f>+IF(OR($Q510=Parametres!$G$2,$Q510=Parametres!$G$3),I510,C510)</f>
        <v>1476.25</v>
      </c>
      <c r="O510" s="151">
        <f>+IF(OR($Q510=Parametres!$G$2,$Q510=Parametres!$G$3),J510,D510)</f>
        <v>34.83</v>
      </c>
      <c r="P510" s="151">
        <f>+IF(OR($Q510=Parametres!$G$2,$Q510=Parametres!$G$3),K510,E510)</f>
        <v>1511.08</v>
      </c>
      <c r="Q510" s="150" t="str">
        <f t="shared" si="37"/>
        <v>7-Dépenses</v>
      </c>
      <c r="R510" s="149" t="str">
        <f t="shared" si="38"/>
        <v>78</v>
      </c>
      <c r="S510" s="150" t="str">
        <f t="shared" si="39"/>
        <v>_</v>
      </c>
      <c r="T510" s="152" t="str">
        <f>+VLOOKUP($L510,Data_Validation!$A:$D,1,0)</f>
        <v>78A</v>
      </c>
      <c r="U510" s="152" t="str">
        <f>+VLOOKUP($L510,Data_Validation!$A:$D,3,0)</f>
        <v>Véhicules neufs</v>
      </c>
      <c r="V510" s="152" t="str">
        <f>+VLOOKUP($L510,Data_Validation!$A:$D,4,0)</f>
        <v>Frais postaux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1628</v>
      </c>
      <c r="B511" s="708" t="s">
        <v>806</v>
      </c>
      <c r="C511" s="710">
        <v>1532.72</v>
      </c>
      <c r="D511" s="710">
        <v>43.25</v>
      </c>
      <c r="E511" s="710">
        <v>1575.97</v>
      </c>
      <c r="F511" s="708" t="s">
        <v>2228</v>
      </c>
      <c r="G511" s="708" t="s">
        <v>2262</v>
      </c>
      <c r="H511" s="664" t="s">
        <v>2997</v>
      </c>
      <c r="I511" s="663"/>
      <c r="J511" s="663"/>
      <c r="K511" s="663"/>
      <c r="L511" s="149" t="str">
        <f t="shared" si="35"/>
        <v>78E</v>
      </c>
      <c r="M511" s="150" t="str">
        <f t="shared" si="36"/>
        <v>TRANSPORT - SERV. BMW</v>
      </c>
      <c r="N511" s="151">
        <f>+IF(OR($Q511=Parametres!$G$2,$Q511=Parametres!$G$3),I511,C511)</f>
        <v>1532.72</v>
      </c>
      <c r="O511" s="151">
        <f>+IF(OR($Q511=Parametres!$G$2,$Q511=Parametres!$G$3),J511,D511)</f>
        <v>43.25</v>
      </c>
      <c r="P511" s="151">
        <f>+IF(OR($Q511=Parametres!$G$2,$Q511=Parametres!$G$3),K511,E511)</f>
        <v>1575.97</v>
      </c>
      <c r="Q511" s="150" t="str">
        <f t="shared" si="37"/>
        <v>7-Dépenses</v>
      </c>
      <c r="R511" s="149" t="str">
        <f t="shared" si="38"/>
        <v>78</v>
      </c>
      <c r="S511" s="150" t="str">
        <f t="shared" si="39"/>
        <v>_</v>
      </c>
      <c r="T511" s="152" t="str">
        <f>+VLOOKUP($L511,Data_Validation!$A:$D,1,0)</f>
        <v>78E</v>
      </c>
      <c r="U511" s="152" t="str">
        <f>+VLOOKUP($L511,Data_Validation!$A:$D,3,0)</f>
        <v>Service</v>
      </c>
      <c r="V511" s="152" t="str">
        <f>+VLOOKUP($L511,Data_Validation!$A:$D,4,0)</f>
        <v>Frais postaux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1632</v>
      </c>
      <c r="B512" s="708" t="s">
        <v>812</v>
      </c>
      <c r="C512" s="710">
        <v>1587.36</v>
      </c>
      <c r="D512" s="710">
        <v>135.80000000000001</v>
      </c>
      <c r="E512" s="710">
        <v>1723.16</v>
      </c>
      <c r="F512" s="708" t="s">
        <v>2228</v>
      </c>
      <c r="G512" s="708" t="s">
        <v>2269</v>
      </c>
      <c r="H512" s="600" t="s">
        <v>2997</v>
      </c>
      <c r="I512" s="602"/>
      <c r="J512" s="602"/>
      <c r="K512" s="602"/>
      <c r="L512" s="149" t="str">
        <f t="shared" si="35"/>
        <v>60C</v>
      </c>
      <c r="M512" s="150" t="str">
        <f t="shared" si="36"/>
        <v>FOURNITURES BUREAU - USAGE BMW</v>
      </c>
      <c r="N512" s="151">
        <f>+IF(OR($Q512=Parametres!$G$2,$Q512=Parametres!$G$3),I512,C512)</f>
        <v>1587.36</v>
      </c>
      <c r="O512" s="151">
        <f>+IF(OR($Q512=Parametres!$G$2,$Q512=Parametres!$G$3),J512,D512)</f>
        <v>135.80000000000001</v>
      </c>
      <c r="P512" s="151">
        <f>+IF(OR($Q512=Parametres!$G$2,$Q512=Parametres!$G$3),K512,E512)</f>
        <v>1723.16</v>
      </c>
      <c r="Q512" s="150" t="str">
        <f t="shared" si="37"/>
        <v>7-Dépenses</v>
      </c>
      <c r="R512" s="149" t="str">
        <f t="shared" si="38"/>
        <v>60</v>
      </c>
      <c r="S512" s="150" t="str">
        <f t="shared" si="39"/>
        <v>_</v>
      </c>
      <c r="T512" s="152" t="str">
        <f>+VLOOKUP($L512,Data_Validation!$A:$D,1,0)</f>
        <v>60C</v>
      </c>
      <c r="U512" s="152" t="str">
        <f>+VLOOKUP($L512,Data_Validation!$A:$D,3,0)</f>
        <v>Véhicules usagés</v>
      </c>
      <c r="V512" s="152" t="str">
        <f>+VLOOKUP($L512,Data_Validation!$A:$D,4,0)</f>
        <v>papeterie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1658</v>
      </c>
      <c r="B513" s="708" t="s">
        <v>821</v>
      </c>
      <c r="C513" s="710">
        <v>1612.34</v>
      </c>
      <c r="D513" s="710">
        <v>118.53</v>
      </c>
      <c r="E513" s="710">
        <v>1730.87</v>
      </c>
      <c r="F513" s="708" t="s">
        <v>2228</v>
      </c>
      <c r="G513" s="708" t="s">
        <v>2259</v>
      </c>
      <c r="H513" s="664" t="s">
        <v>2997</v>
      </c>
      <c r="I513" s="663"/>
      <c r="J513" s="663"/>
      <c r="K513" s="663"/>
      <c r="L513" s="149" t="str">
        <f t="shared" si="35"/>
        <v>75E</v>
      </c>
      <c r="M513" s="150" t="str">
        <f t="shared" si="36"/>
        <v>TELEPHONE - SERV. BMW</v>
      </c>
      <c r="N513" s="151">
        <f>+IF(OR($Q513=Parametres!$G$2,$Q513=Parametres!$G$3),I513,C513)</f>
        <v>1612.34</v>
      </c>
      <c r="O513" s="151">
        <f>+IF(OR($Q513=Parametres!$G$2,$Q513=Parametres!$G$3),J513,D513)</f>
        <v>118.53</v>
      </c>
      <c r="P513" s="151">
        <f>+IF(OR($Q513=Parametres!$G$2,$Q513=Parametres!$G$3),K513,E513)</f>
        <v>1730.87</v>
      </c>
      <c r="Q513" s="150" t="str">
        <f t="shared" si="37"/>
        <v>7-Dépenses</v>
      </c>
      <c r="R513" s="149" t="str">
        <f t="shared" si="38"/>
        <v>75</v>
      </c>
      <c r="S513" s="150" t="str">
        <f t="shared" si="39"/>
        <v>_</v>
      </c>
      <c r="T513" s="152" t="str">
        <f>+VLOOKUP($L513,Data_Validation!$A:$D,1,0)</f>
        <v>75E</v>
      </c>
      <c r="U513" s="152" t="str">
        <f>+VLOOKUP($L513,Data_Validation!$A:$D,3,0)</f>
        <v>Service</v>
      </c>
      <c r="V513" s="152" t="str">
        <f>+VLOOKUP($L513,Data_Validation!$A:$D,4,0)</f>
        <v>Téléphone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1145</v>
      </c>
      <c r="B514" s="708" t="s">
        <v>889</v>
      </c>
      <c r="C514" s="710">
        <v>1862.37</v>
      </c>
      <c r="D514" s="710">
        <v>1076.6400000000001</v>
      </c>
      <c r="E514" s="710">
        <v>2939.01</v>
      </c>
      <c r="F514" s="708" t="s">
        <v>2228</v>
      </c>
      <c r="G514" s="708" t="s">
        <v>2270</v>
      </c>
      <c r="H514" s="664" t="s">
        <v>2997</v>
      </c>
      <c r="I514" s="663"/>
      <c r="J514" s="663"/>
      <c r="K514" s="663"/>
      <c r="L514" s="149" t="str">
        <f t="shared" ref="L514:L577" si="40">+B514</f>
        <v>76A</v>
      </c>
      <c r="M514" s="150" t="str">
        <f t="shared" ref="M514:M577" si="41">+A514</f>
        <v>FORMATION - NEUF BMW</v>
      </c>
      <c r="N514" s="151">
        <f>+IF(OR($Q514=Parametres!$G$2,$Q514=Parametres!$G$3),I514,C514)</f>
        <v>1862.37</v>
      </c>
      <c r="O514" s="151">
        <f>+IF(OR($Q514=Parametres!$G$2,$Q514=Parametres!$G$3),J514,D514)</f>
        <v>1076.6400000000001</v>
      </c>
      <c r="P514" s="151">
        <f>+IF(OR($Q514=Parametres!$G$2,$Q514=Parametres!$G$3),K514,E514)</f>
        <v>2939.01</v>
      </c>
      <c r="Q514" s="150" t="str">
        <f t="shared" ref="Q514:Q577" si="42">+F514</f>
        <v>7-Dépenses</v>
      </c>
      <c r="R514" s="149" t="str">
        <f t="shared" ref="R514:R577" si="43">+G514</f>
        <v>76</v>
      </c>
      <c r="S514" s="150" t="str">
        <f t="shared" ref="S514:S577" si="44">+H514</f>
        <v>_</v>
      </c>
      <c r="T514" s="152" t="str">
        <f>+VLOOKUP($L514,Data_Validation!$A:$D,1,0)</f>
        <v>76A</v>
      </c>
      <c r="U514" s="152" t="str">
        <f>+VLOOKUP($L514,Data_Validation!$A:$D,3,0)</f>
        <v>Véhicules neufs</v>
      </c>
      <c r="V514" s="152" t="str">
        <f>+VLOOKUP($L514,Data_Validation!$A:$D,4,0)</f>
        <v>Formation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1180</v>
      </c>
      <c r="B515" s="708" t="s">
        <v>778</v>
      </c>
      <c r="C515" s="710">
        <v>2005.16</v>
      </c>
      <c r="D515" s="710">
        <v>400.77</v>
      </c>
      <c r="E515" s="710">
        <v>2405.9299999999998</v>
      </c>
      <c r="F515" s="708" t="s">
        <v>2228</v>
      </c>
      <c r="G515" s="708" t="s">
        <v>2266</v>
      </c>
      <c r="H515" s="657" t="s">
        <v>2997</v>
      </c>
      <c r="I515" s="656"/>
      <c r="J515" s="656"/>
      <c r="K515" s="656"/>
      <c r="L515" s="149" t="str">
        <f t="shared" si="40"/>
        <v>71G</v>
      </c>
      <c r="M515" s="150" t="str">
        <f t="shared" si="41"/>
        <v>FRAIS REPRESENTATION - PIECE BMW</v>
      </c>
      <c r="N515" s="151">
        <f>+IF(OR($Q515=Parametres!$G$2,$Q515=Parametres!$G$3),I515,C515)</f>
        <v>2005.16</v>
      </c>
      <c r="O515" s="151">
        <f>+IF(OR($Q515=Parametres!$G$2,$Q515=Parametres!$G$3),J515,D515)</f>
        <v>400.77</v>
      </c>
      <c r="P515" s="151">
        <f>+IF(OR($Q515=Parametres!$G$2,$Q515=Parametres!$G$3),K515,E515)</f>
        <v>2405.9299999999998</v>
      </c>
      <c r="Q515" s="150" t="str">
        <f t="shared" si="42"/>
        <v>7-Dépenses</v>
      </c>
      <c r="R515" s="149" t="str">
        <f t="shared" si="43"/>
        <v>71</v>
      </c>
      <c r="S515" s="150" t="str">
        <f t="shared" si="44"/>
        <v>_</v>
      </c>
      <c r="T515" s="152" t="str">
        <f>+VLOOKUP($L515,Data_Validation!$A:$D,1,0)</f>
        <v>71G</v>
      </c>
      <c r="U515" s="152" t="str">
        <f>+VLOOKUP($L515,Data_Validation!$A:$D,3,0)</f>
        <v>pièces</v>
      </c>
      <c r="V515" s="152" t="str">
        <f>+VLOOKUP($L515,Data_Validation!$A:$D,4,0)</f>
        <v>Frais de déplacement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1233</v>
      </c>
      <c r="B516" s="708" t="s">
        <v>808</v>
      </c>
      <c r="C516" s="710">
        <v>2278.8200000000002</v>
      </c>
      <c r="D516" s="710">
        <v>74.02</v>
      </c>
      <c r="E516" s="710">
        <v>2352.84</v>
      </c>
      <c r="F516" s="708" t="s">
        <v>2228</v>
      </c>
      <c r="G516" s="708" t="s">
        <v>2263</v>
      </c>
      <c r="H516" s="657" t="s">
        <v>2997</v>
      </c>
      <c r="I516" s="656"/>
      <c r="J516" s="656"/>
      <c r="K516" s="656"/>
      <c r="L516" s="149" t="str">
        <f t="shared" si="40"/>
        <v>72A</v>
      </c>
      <c r="M516" s="150" t="str">
        <f t="shared" si="41"/>
        <v>COTIS. &amp; ABONN. - NEUF BMW</v>
      </c>
      <c r="N516" s="151">
        <f>+IF(OR($Q516=Parametres!$G$2,$Q516=Parametres!$G$3),I516,C516)</f>
        <v>2278.8200000000002</v>
      </c>
      <c r="O516" s="151">
        <f>+IF(OR($Q516=Parametres!$G$2,$Q516=Parametres!$G$3),J516,D516)</f>
        <v>74.02</v>
      </c>
      <c r="P516" s="151">
        <f>+IF(OR($Q516=Parametres!$G$2,$Q516=Parametres!$G$3),K516,E516)</f>
        <v>2352.84</v>
      </c>
      <c r="Q516" s="150" t="str">
        <f t="shared" si="42"/>
        <v>7-Dépenses</v>
      </c>
      <c r="R516" s="149" t="str">
        <f t="shared" si="43"/>
        <v>72</v>
      </c>
      <c r="S516" s="150" t="str">
        <f t="shared" si="44"/>
        <v>_</v>
      </c>
      <c r="T516" s="152" t="str">
        <f>+VLOOKUP($L516,Data_Validation!$A:$D,1,0)</f>
        <v>72A</v>
      </c>
      <c r="U516" s="152" t="str">
        <f>+VLOOKUP($L516,Data_Validation!$A:$D,3,0)</f>
        <v>Véhicules neufs</v>
      </c>
      <c r="V516" s="152" t="str">
        <f>+VLOOKUP($L516,Data_Validation!$A:$D,4,0)</f>
        <v>divers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1662</v>
      </c>
      <c r="B517" s="708" t="s">
        <v>829</v>
      </c>
      <c r="C517" s="710">
        <v>2537.85</v>
      </c>
      <c r="D517" s="710">
        <v>271.57</v>
      </c>
      <c r="E517" s="710">
        <v>2809.42</v>
      </c>
      <c r="F517" s="708" t="s">
        <v>2228</v>
      </c>
      <c r="G517" s="708" t="s">
        <v>2269</v>
      </c>
      <c r="H517" s="664" t="s">
        <v>2997</v>
      </c>
      <c r="I517" s="664"/>
      <c r="J517" s="664"/>
      <c r="K517" s="664"/>
      <c r="L517" s="149" t="str">
        <f t="shared" si="40"/>
        <v>60G</v>
      </c>
      <c r="M517" s="150" t="str">
        <f t="shared" si="41"/>
        <v>FOURNITURES BUREAU - PIECE BMW</v>
      </c>
      <c r="N517" s="151">
        <f>+IF(OR($Q517=Parametres!$G$2,$Q517=Parametres!$G$3),I517,C517)</f>
        <v>2537.85</v>
      </c>
      <c r="O517" s="151">
        <f>+IF(OR($Q517=Parametres!$G$2,$Q517=Parametres!$G$3),J517,D517)</f>
        <v>271.57</v>
      </c>
      <c r="P517" s="151">
        <f>+IF(OR($Q517=Parametres!$G$2,$Q517=Parametres!$G$3),K517,E517)</f>
        <v>2809.42</v>
      </c>
      <c r="Q517" s="150" t="str">
        <f t="shared" si="42"/>
        <v>7-Dépenses</v>
      </c>
      <c r="R517" s="149" t="str">
        <f t="shared" si="43"/>
        <v>60</v>
      </c>
      <c r="S517" s="150" t="str">
        <f t="shared" si="44"/>
        <v>_</v>
      </c>
      <c r="T517" s="152" t="str">
        <f>+VLOOKUP($L517,Data_Validation!$A:$D,1,0)</f>
        <v>60G</v>
      </c>
      <c r="U517" s="152" t="str">
        <f>+VLOOKUP($L517,Data_Validation!$A:$D,3,0)</f>
        <v>pièces</v>
      </c>
      <c r="V517" s="152" t="str">
        <f>+VLOOKUP($L517,Data_Validation!$A:$D,4,0)</f>
        <v>papeterie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1660</v>
      </c>
      <c r="B518" s="708" t="s">
        <v>817</v>
      </c>
      <c r="C518" s="710">
        <v>2641.93</v>
      </c>
      <c r="D518" s="710">
        <v>264.36</v>
      </c>
      <c r="E518" s="710">
        <v>2906.29</v>
      </c>
      <c r="F518" s="708" t="s">
        <v>2228</v>
      </c>
      <c r="G518" s="708" t="s">
        <v>2272</v>
      </c>
      <c r="H518" s="657" t="s">
        <v>2997</v>
      </c>
      <c r="I518" s="656"/>
      <c r="J518" s="656"/>
      <c r="K518" s="656"/>
      <c r="L518" s="149" t="str">
        <f t="shared" si="40"/>
        <v>89C</v>
      </c>
      <c r="M518" s="150" t="str">
        <f t="shared" si="41"/>
        <v>TAXES &amp; PERMIS - USAGE BMW</v>
      </c>
      <c r="N518" s="151">
        <f>+IF(OR($Q518=Parametres!$G$2,$Q518=Parametres!$G$3),I518,C518)</f>
        <v>2641.93</v>
      </c>
      <c r="O518" s="151">
        <f>+IF(OR($Q518=Parametres!$G$2,$Q518=Parametres!$G$3),J518,D518)</f>
        <v>264.36</v>
      </c>
      <c r="P518" s="151">
        <f>+IF(OR($Q518=Parametres!$G$2,$Q518=Parametres!$G$3),K518,E518)</f>
        <v>2906.29</v>
      </c>
      <c r="Q518" s="150" t="str">
        <f t="shared" si="42"/>
        <v>7-Dépenses</v>
      </c>
      <c r="R518" s="149" t="str">
        <f t="shared" si="43"/>
        <v>89</v>
      </c>
      <c r="S518" s="150" t="str">
        <f t="shared" si="44"/>
        <v>_</v>
      </c>
      <c r="T518" s="152" t="str">
        <f>+VLOOKUP($L518,Data_Validation!$A:$D,1,0)</f>
        <v>89C</v>
      </c>
      <c r="U518" s="152" t="str">
        <f>+VLOOKUP($L518,Data_Validation!$A:$D,3,0)</f>
        <v>Véhicules usagés</v>
      </c>
      <c r="V518" s="152" t="str">
        <f>+VLOOKUP($L518,Data_Validation!$A:$D,4,0)</f>
        <v>Taxes d`affaires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1671</v>
      </c>
      <c r="B519" s="708" t="s">
        <v>834</v>
      </c>
      <c r="C519" s="710">
        <v>2737.4</v>
      </c>
      <c r="D519" s="710">
        <v>204.52</v>
      </c>
      <c r="E519" s="710">
        <v>2941.92</v>
      </c>
      <c r="F519" s="708" t="s">
        <v>2228</v>
      </c>
      <c r="G519" s="708" t="s">
        <v>2259</v>
      </c>
      <c r="H519" s="664" t="s">
        <v>2997</v>
      </c>
      <c r="I519" s="663"/>
      <c r="J519" s="663"/>
      <c r="K519" s="663"/>
      <c r="L519" s="149" t="str">
        <f t="shared" si="40"/>
        <v>75A</v>
      </c>
      <c r="M519" s="150" t="str">
        <f t="shared" si="41"/>
        <v>TELEPHONE - NEUF BMW</v>
      </c>
      <c r="N519" s="151">
        <f>+IF(OR($Q519=Parametres!$G$2,$Q519=Parametres!$G$3),I519,C519)</f>
        <v>2737.4</v>
      </c>
      <c r="O519" s="151">
        <f>+IF(OR($Q519=Parametres!$G$2,$Q519=Parametres!$G$3),J519,D519)</f>
        <v>204.52</v>
      </c>
      <c r="P519" s="151">
        <f>+IF(OR($Q519=Parametres!$G$2,$Q519=Parametres!$G$3),K519,E519)</f>
        <v>2941.92</v>
      </c>
      <c r="Q519" s="150" t="str">
        <f t="shared" si="42"/>
        <v>7-Dépenses</v>
      </c>
      <c r="R519" s="149" t="str">
        <f t="shared" si="43"/>
        <v>75</v>
      </c>
      <c r="S519" s="150" t="str">
        <f t="shared" si="44"/>
        <v>_</v>
      </c>
      <c r="T519" s="152" t="str">
        <f>+VLOOKUP($L519,Data_Validation!$A:$D,1,0)</f>
        <v>75A</v>
      </c>
      <c r="U519" s="152" t="str">
        <f>+VLOOKUP($L519,Data_Validation!$A:$D,3,0)</f>
        <v>Véhicules neufs</v>
      </c>
      <c r="V519" s="152" t="str">
        <f>+VLOOKUP($L519,Data_Validation!$A:$D,4,0)</f>
        <v>Téléphone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1155</v>
      </c>
      <c r="B520" s="708" t="s">
        <v>847</v>
      </c>
      <c r="C520" s="710">
        <v>2913.21</v>
      </c>
      <c r="D520" s="710">
        <v>232.6</v>
      </c>
      <c r="E520" s="710">
        <v>3145.81</v>
      </c>
      <c r="F520" s="708" t="s">
        <v>2228</v>
      </c>
      <c r="G520" s="708" t="s">
        <v>2271</v>
      </c>
      <c r="H520" s="664" t="s">
        <v>2997</v>
      </c>
      <c r="I520" s="663"/>
      <c r="J520" s="663"/>
      <c r="K520" s="663"/>
      <c r="L520" s="149" t="str">
        <f t="shared" si="40"/>
        <v>77G</v>
      </c>
      <c r="M520" s="150" t="str">
        <f t="shared" si="41"/>
        <v>FRAIS DIVERS - PIECE BMW</v>
      </c>
      <c r="N520" s="151">
        <f>+IF(OR($Q520=Parametres!$G$2,$Q520=Parametres!$G$3),I520,C520)</f>
        <v>2913.21</v>
      </c>
      <c r="O520" s="151">
        <f>+IF(OR($Q520=Parametres!$G$2,$Q520=Parametres!$G$3),J520,D520)</f>
        <v>232.6</v>
      </c>
      <c r="P520" s="151">
        <f>+IF(OR($Q520=Parametres!$G$2,$Q520=Parametres!$G$3),K520,E520)</f>
        <v>3145.81</v>
      </c>
      <c r="Q520" s="150" t="str">
        <f t="shared" si="42"/>
        <v>7-Dépenses</v>
      </c>
      <c r="R520" s="149" t="str">
        <f t="shared" si="43"/>
        <v>77</v>
      </c>
      <c r="S520" s="150" t="str">
        <f t="shared" si="44"/>
        <v>_</v>
      </c>
      <c r="T520" s="152" t="str">
        <f>+VLOOKUP($L520,Data_Validation!$A:$D,1,0)</f>
        <v>77G</v>
      </c>
      <c r="U520" s="152" t="str">
        <f>+VLOOKUP($L520,Data_Validation!$A:$D,3,0)</f>
        <v>pièces</v>
      </c>
      <c r="V520" s="152" t="str">
        <f>+VLOOKUP($L520,Data_Validation!$A:$D,4,0)</f>
        <v>divers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1670</v>
      </c>
      <c r="B521" s="708" t="s">
        <v>910</v>
      </c>
      <c r="C521" s="710">
        <v>3420</v>
      </c>
      <c r="D521" s="710">
        <v>342</v>
      </c>
      <c r="E521" s="710">
        <v>3762</v>
      </c>
      <c r="F521" s="708" t="s">
        <v>2228</v>
      </c>
      <c r="G521" s="708" t="s">
        <v>2268</v>
      </c>
      <c r="H521" s="600" t="s">
        <v>2997</v>
      </c>
      <c r="I521" s="153"/>
      <c r="J521" s="153"/>
      <c r="K521" s="153"/>
      <c r="L521" s="149" t="str">
        <f t="shared" si="40"/>
        <v>23A</v>
      </c>
      <c r="M521" s="150" t="str">
        <f t="shared" si="41"/>
        <v>SAL. AUTRES - NEUF BMW</v>
      </c>
      <c r="N521" s="151">
        <f>+IF(OR($Q521=Parametres!$G$2,$Q521=Parametres!$G$3),I521,C521)</f>
        <v>3420</v>
      </c>
      <c r="O521" s="151">
        <f>+IF(OR($Q521=Parametres!$G$2,$Q521=Parametres!$G$3),J521,D521)</f>
        <v>342</v>
      </c>
      <c r="P521" s="151">
        <f>+IF(OR($Q521=Parametres!$G$2,$Q521=Parametres!$G$3),K521,E521)</f>
        <v>3762</v>
      </c>
      <c r="Q521" s="150" t="str">
        <f t="shared" si="42"/>
        <v>7-Dépenses</v>
      </c>
      <c r="R521" s="149" t="str">
        <f t="shared" si="43"/>
        <v>23</v>
      </c>
      <c r="S521" s="150" t="str">
        <f t="shared" si="44"/>
        <v>_</v>
      </c>
      <c r="T521" s="152" t="str">
        <f>+VLOOKUP($L521,Data_Validation!$A:$D,1,0)</f>
        <v>23A</v>
      </c>
      <c r="U521" s="152" t="str">
        <f>+VLOOKUP($L521,Data_Validation!$A:$D,3,0)</f>
        <v>Véhicules neufs</v>
      </c>
      <c r="V521" s="152" t="str">
        <f>+VLOOKUP($L521,Data_Validation!$A:$D,4,0)</f>
        <v>salaires autres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1460</v>
      </c>
      <c r="B522" s="708" t="s">
        <v>797</v>
      </c>
      <c r="C522" s="710">
        <v>3523.62</v>
      </c>
      <c r="D522" s="710">
        <v>2900.41</v>
      </c>
      <c r="E522" s="710">
        <v>6424.03</v>
      </c>
      <c r="F522" s="708" t="s">
        <v>2228</v>
      </c>
      <c r="G522" s="708" t="s">
        <v>2265</v>
      </c>
      <c r="H522" s="600" t="s">
        <v>2997</v>
      </c>
      <c r="I522" s="602"/>
      <c r="J522" s="602"/>
      <c r="K522" s="602"/>
      <c r="L522" s="149" t="str">
        <f t="shared" si="40"/>
        <v>63G</v>
      </c>
      <c r="M522" s="150" t="str">
        <f t="shared" si="41"/>
        <v>AJUST. GARANTIE - PIECE BMW</v>
      </c>
      <c r="N522" s="151">
        <f>+IF(OR($Q522=Parametres!$G$2,$Q522=Parametres!$G$3),I522,C522)</f>
        <v>3523.62</v>
      </c>
      <c r="O522" s="497">
        <f>+IF(OR($Q522=Parametres!$G$2,$Q522=Parametres!$G$3),J522,D522)</f>
        <v>2900.41</v>
      </c>
      <c r="P522" s="151">
        <f>+IF(OR($Q522=Parametres!$G$2,$Q522=Parametres!$G$3),K522,E522)</f>
        <v>6424.03</v>
      </c>
      <c r="Q522" s="150" t="str">
        <f t="shared" si="42"/>
        <v>7-Dépenses</v>
      </c>
      <c r="R522" s="149" t="str">
        <f t="shared" si="43"/>
        <v>63</v>
      </c>
      <c r="S522" s="150" t="str">
        <f t="shared" si="44"/>
        <v>_</v>
      </c>
      <c r="T522" s="152" t="str">
        <f>+VLOOKUP($L522,Data_Validation!$A:$D,1,0)</f>
        <v>63G</v>
      </c>
      <c r="U522" s="152" t="str">
        <f>+VLOOKUP($L522,Data_Validation!$A:$D,3,0)</f>
        <v>pièces</v>
      </c>
      <c r="V522" s="152" t="str">
        <f>+VLOOKUP($L522,Data_Validation!$A:$D,4,0)</f>
        <v>service gratuit 2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1183</v>
      </c>
      <c r="B523" s="708" t="s">
        <v>687</v>
      </c>
      <c r="C523" s="710">
        <v>3991.9</v>
      </c>
      <c r="D523" s="710">
        <v>0</v>
      </c>
      <c r="E523" s="710">
        <v>3991.9</v>
      </c>
      <c r="F523" s="708" t="s">
        <v>2228</v>
      </c>
      <c r="G523" s="708" t="s">
        <v>2289</v>
      </c>
      <c r="H523" s="602" t="s">
        <v>2997</v>
      </c>
      <c r="I523" s="601"/>
      <c r="J523" s="601"/>
      <c r="K523" s="601"/>
      <c r="L523" s="149" t="str">
        <f t="shared" si="40"/>
        <v>90E</v>
      </c>
      <c r="M523" s="150" t="str">
        <f t="shared" si="41"/>
        <v>REP. EQUIPEMENT - SERV. BMW</v>
      </c>
      <c r="N523" s="151">
        <f>+IF(OR($Q523=Parametres!$G$2,$Q523=Parametres!$G$3),I523,C523)</f>
        <v>3991.9</v>
      </c>
      <c r="O523" s="497">
        <f>+IF(OR($Q523=Parametres!$G$2,$Q523=Parametres!$G$3),J523,D523)</f>
        <v>0</v>
      </c>
      <c r="P523" s="151">
        <f>+IF(OR($Q523=Parametres!$G$2,$Q523=Parametres!$G$3),K523,E523)</f>
        <v>3991.9</v>
      </c>
      <c r="Q523" s="150" t="str">
        <f t="shared" si="42"/>
        <v>7-Dépenses</v>
      </c>
      <c r="R523" s="149" t="str">
        <f t="shared" si="43"/>
        <v>90</v>
      </c>
      <c r="S523" s="150" t="str">
        <f t="shared" si="44"/>
        <v>_</v>
      </c>
      <c r="T523" s="152" t="str">
        <f>+VLOOKUP($L523,Data_Validation!$A:$D,1,0)</f>
        <v>90E</v>
      </c>
      <c r="U523" s="152" t="str">
        <f>+VLOOKUP($L523,Data_Validation!$A:$D,3,0)</f>
        <v>Service</v>
      </c>
      <c r="V523" s="152" t="str">
        <f>+VLOOKUP($L523,Data_Validation!$A:$D,4,0)</f>
        <v>Réparation équipement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1214</v>
      </c>
      <c r="B524" s="708" t="s">
        <v>836</v>
      </c>
      <c r="C524" s="709">
        <v>4130</v>
      </c>
      <c r="D524" s="709">
        <v>417.23</v>
      </c>
      <c r="E524" s="709">
        <v>4547.2299999999996</v>
      </c>
      <c r="F524" s="708" t="s">
        <v>2228</v>
      </c>
      <c r="G524" s="708" t="s">
        <v>2277</v>
      </c>
      <c r="H524" s="709" t="s">
        <v>2997</v>
      </c>
      <c r="I524" s="710"/>
      <c r="J524" s="710"/>
      <c r="K524" s="710"/>
      <c r="L524" s="149" t="str">
        <f t="shared" si="40"/>
        <v>91C</v>
      </c>
      <c r="M524" s="150" t="str">
        <f t="shared" si="41"/>
        <v>DEPREC. EQUIP. - USAGE BMW</v>
      </c>
      <c r="N524" s="151">
        <f>+IF(OR($Q524=Parametres!$G$2,$Q524=Parametres!$G$3),I524,C524)</f>
        <v>4130</v>
      </c>
      <c r="O524" s="151">
        <f>+IF(OR($Q524=Parametres!$G$2,$Q524=Parametres!$G$3),J524,D524)</f>
        <v>417.23</v>
      </c>
      <c r="P524" s="151">
        <f>+IF(OR($Q524=Parametres!$G$2,$Q524=Parametres!$G$3),K524,E524)</f>
        <v>4547.2299999999996</v>
      </c>
      <c r="Q524" s="150" t="str">
        <f t="shared" si="42"/>
        <v>7-Dépenses</v>
      </c>
      <c r="R524" s="149" t="str">
        <f t="shared" si="43"/>
        <v>91</v>
      </c>
      <c r="S524" s="150" t="str">
        <f t="shared" si="44"/>
        <v>_</v>
      </c>
      <c r="T524" s="152" t="str">
        <f>+VLOOKUP($L524,Data_Validation!$A:$E,1,0)</f>
        <v>91C</v>
      </c>
      <c r="U524" s="152" t="str">
        <f>+VLOOKUP($L524,Data_Validation!$A:$E,3,0)</f>
        <v>Véhicules usagés</v>
      </c>
      <c r="V524" s="152" t="str">
        <f>+VLOOKUP($L524,Data_Validation!$A:$E,4,0)</f>
        <v>amortissement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08" t="s">
        <v>1659</v>
      </c>
      <c r="B525" s="708" t="s">
        <v>828</v>
      </c>
      <c r="C525" s="710">
        <v>4853.8</v>
      </c>
      <c r="D525" s="710">
        <v>485.38</v>
      </c>
      <c r="E525" s="710">
        <v>5339.18</v>
      </c>
      <c r="F525" s="708" t="s">
        <v>2228</v>
      </c>
      <c r="G525" s="708" t="s">
        <v>2275</v>
      </c>
      <c r="H525" s="600" t="s">
        <v>2997</v>
      </c>
      <c r="I525" s="153"/>
      <c r="J525" s="153"/>
      <c r="K525" s="153"/>
      <c r="L525" s="149" t="str">
        <f t="shared" si="40"/>
        <v>85C</v>
      </c>
      <c r="M525" s="150" t="str">
        <f t="shared" si="41"/>
        <v>ASS. BATISSE - USAGE BMW</v>
      </c>
      <c r="N525" s="151">
        <f>+IF(OR($Q525=Parametres!$G$2,$Q525=Parametres!$G$3),I525,C525)</f>
        <v>4853.8</v>
      </c>
      <c r="O525" s="151">
        <f>+IF(OR($Q525=Parametres!$G$2,$Q525=Parametres!$G$3),J525,D525)</f>
        <v>485.38</v>
      </c>
      <c r="P525" s="151">
        <f>+IF(OR($Q525=Parametres!$G$2,$Q525=Parametres!$G$3),K525,E525)</f>
        <v>5339.18</v>
      </c>
      <c r="Q525" s="150" t="str">
        <f t="shared" si="42"/>
        <v>7-Dépenses</v>
      </c>
      <c r="R525" s="149" t="str">
        <f t="shared" si="43"/>
        <v>85</v>
      </c>
      <c r="S525" s="150" t="str">
        <f t="shared" si="44"/>
        <v>_</v>
      </c>
      <c r="T525" s="152" t="str">
        <f>+VLOOKUP($L525,Data_Validation!$A:$D,1,0)</f>
        <v>85C</v>
      </c>
      <c r="U525" s="152" t="str">
        <f>+VLOOKUP($L525,Data_Validation!$A:$D,3,0)</f>
        <v>Véhicules usagés</v>
      </c>
      <c r="V525" s="152" t="str">
        <f>+VLOOKUP($L525,Data_Validation!$A:$D,4,0)</f>
        <v>assurances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1678</v>
      </c>
      <c r="B526" s="708" t="s">
        <v>835</v>
      </c>
      <c r="C526" s="710">
        <v>5283.81</v>
      </c>
      <c r="D526" s="710">
        <v>528.71</v>
      </c>
      <c r="E526" s="710">
        <v>5812.52</v>
      </c>
      <c r="F526" s="708" t="s">
        <v>2228</v>
      </c>
      <c r="G526" s="708" t="s">
        <v>2272</v>
      </c>
      <c r="H526" s="602" t="s">
        <v>2997</v>
      </c>
      <c r="I526" s="601"/>
      <c r="J526" s="601"/>
      <c r="K526" s="601"/>
      <c r="L526" s="149" t="str">
        <f t="shared" si="40"/>
        <v>89G</v>
      </c>
      <c r="M526" s="150" t="str">
        <f t="shared" si="41"/>
        <v>TAXES &amp; PERMIS - PIECE BMW</v>
      </c>
      <c r="N526" s="151">
        <f>+IF(OR($Q526=Parametres!$G$2,$Q526=Parametres!$G$3),I526,C526)</f>
        <v>5283.81</v>
      </c>
      <c r="O526" s="151">
        <f>+IF(OR($Q526=Parametres!$G$2,$Q526=Parametres!$G$3),J526,D526)</f>
        <v>528.71</v>
      </c>
      <c r="P526" s="151">
        <f>+IF(OR($Q526=Parametres!$G$2,$Q526=Parametres!$G$3),K526,E526)</f>
        <v>5812.52</v>
      </c>
      <c r="Q526" s="150" t="str">
        <f t="shared" si="42"/>
        <v>7-Dépenses</v>
      </c>
      <c r="R526" s="149" t="str">
        <f t="shared" si="43"/>
        <v>89</v>
      </c>
      <c r="S526" s="150" t="str">
        <f t="shared" si="44"/>
        <v>_</v>
      </c>
      <c r="T526" s="152" t="str">
        <f>+VLOOKUP($L526,Data_Validation!$A:$D,1,0)</f>
        <v>89G</v>
      </c>
      <c r="U526" s="152" t="str">
        <f>+VLOOKUP($L526,Data_Validation!$A:$D,3,0)</f>
        <v>pièces</v>
      </c>
      <c r="V526" s="152" t="str">
        <f>+VLOOKUP($L526,Data_Validation!$A:$D,4,0)</f>
        <v>Taxes d`affaires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1691</v>
      </c>
      <c r="B527" s="708" t="s">
        <v>855</v>
      </c>
      <c r="C527" s="710">
        <v>5484.34</v>
      </c>
      <c r="D527" s="710">
        <v>611.08000000000004</v>
      </c>
      <c r="E527" s="710">
        <v>6095.42</v>
      </c>
      <c r="F527" s="708" t="s">
        <v>2228</v>
      </c>
      <c r="G527" s="708" t="s">
        <v>2269</v>
      </c>
      <c r="H527" s="602" t="s">
        <v>2997</v>
      </c>
      <c r="I527" s="601"/>
      <c r="J527" s="601"/>
      <c r="K527" s="601"/>
      <c r="L527" s="149" t="str">
        <f t="shared" si="40"/>
        <v>60A</v>
      </c>
      <c r="M527" s="150" t="str">
        <f t="shared" si="41"/>
        <v>FOURNITURES BUREAU - NEUF BMW</v>
      </c>
      <c r="N527" s="151">
        <f>+IF(OR($Q527=Parametres!$G$2,$Q527=Parametres!$G$3),I527,C527)</f>
        <v>5484.34</v>
      </c>
      <c r="O527" s="151">
        <f>+IF(OR($Q527=Parametres!$G$2,$Q527=Parametres!$G$3),J527,D527)</f>
        <v>611.08000000000004</v>
      </c>
      <c r="P527" s="151">
        <f>+IF(OR($Q527=Parametres!$G$2,$Q527=Parametres!$G$3),K527,E527)</f>
        <v>6095.42</v>
      </c>
      <c r="Q527" s="150" t="str">
        <f t="shared" si="42"/>
        <v>7-Dépenses</v>
      </c>
      <c r="R527" s="149" t="str">
        <f t="shared" si="43"/>
        <v>60</v>
      </c>
      <c r="S527" s="150" t="str">
        <f t="shared" si="44"/>
        <v>_</v>
      </c>
      <c r="T527" s="152" t="str">
        <f>+VLOOKUP($L527,Data_Validation!$A:$D,1,0)</f>
        <v>60A</v>
      </c>
      <c r="U527" s="152" t="str">
        <f>+VLOOKUP($L527,Data_Validation!$A:$D,3,0)</f>
        <v>Véhicules neufs</v>
      </c>
      <c r="V527" s="152" t="str">
        <f>+VLOOKUP($L527,Data_Validation!$A:$D,4,0)</f>
        <v>papeterie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1668</v>
      </c>
      <c r="B528" s="708" t="s">
        <v>826</v>
      </c>
      <c r="C528" s="710">
        <v>5520.16</v>
      </c>
      <c r="D528" s="710">
        <v>339.49</v>
      </c>
      <c r="E528" s="710">
        <v>5859.65</v>
      </c>
      <c r="F528" s="708" t="s">
        <v>2228</v>
      </c>
      <c r="G528" s="708" t="s">
        <v>2269</v>
      </c>
      <c r="H528" s="664" t="s">
        <v>2997</v>
      </c>
      <c r="I528" s="663"/>
      <c r="J528" s="663"/>
      <c r="K528" s="663"/>
      <c r="L528" s="149" t="str">
        <f t="shared" si="40"/>
        <v>60E</v>
      </c>
      <c r="M528" s="150" t="str">
        <f t="shared" si="41"/>
        <v>FOURNITURES BUREAU - SERV. BMW</v>
      </c>
      <c r="N528" s="151">
        <f>+IF(OR($Q528=Parametres!$G$2,$Q528=Parametres!$G$3),I528,C528)</f>
        <v>5520.16</v>
      </c>
      <c r="O528" s="151">
        <f>+IF(OR($Q528=Parametres!$G$2,$Q528=Parametres!$G$3),J528,D528)</f>
        <v>339.49</v>
      </c>
      <c r="P528" s="151">
        <f>+IF(OR($Q528=Parametres!$G$2,$Q528=Parametres!$G$3),K528,E528)</f>
        <v>5859.65</v>
      </c>
      <c r="Q528" s="150" t="str">
        <f t="shared" si="42"/>
        <v>7-Dépenses</v>
      </c>
      <c r="R528" s="149" t="str">
        <f t="shared" si="43"/>
        <v>60</v>
      </c>
      <c r="S528" s="150" t="str">
        <f t="shared" si="44"/>
        <v>_</v>
      </c>
      <c r="T528" s="152" t="str">
        <f>+VLOOKUP($L528,Data_Validation!$A:$D,1,0)</f>
        <v>60E</v>
      </c>
      <c r="U528" s="152" t="str">
        <f>+VLOOKUP($L528,Data_Validation!$A:$D,3,0)</f>
        <v>Service</v>
      </c>
      <c r="V528" s="152" t="str">
        <f>+VLOOKUP($L528,Data_Validation!$A:$D,4,0)</f>
        <v>papeterie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1235</v>
      </c>
      <c r="B529" s="708" t="s">
        <v>827</v>
      </c>
      <c r="C529" s="710">
        <v>5533.01</v>
      </c>
      <c r="D529" s="710">
        <v>726.65</v>
      </c>
      <c r="E529" s="710">
        <v>6259.66</v>
      </c>
      <c r="F529" s="708" t="s">
        <v>2228</v>
      </c>
      <c r="G529" s="708" t="s">
        <v>2274</v>
      </c>
      <c r="H529" s="664" t="s">
        <v>2997</v>
      </c>
      <c r="I529" s="664"/>
      <c r="J529" s="664"/>
      <c r="K529" s="664"/>
      <c r="L529" s="149" t="str">
        <f t="shared" si="40"/>
        <v>87C</v>
      </c>
      <c r="M529" s="150" t="str">
        <f t="shared" si="41"/>
        <v>CHAUFF. ELECT. EAU - USAGE BMW</v>
      </c>
      <c r="N529" s="151">
        <f>+IF(OR($Q529=Parametres!$G$2,$Q529=Parametres!$G$3),I529,C529)</f>
        <v>5533.01</v>
      </c>
      <c r="O529" s="151">
        <f>+IF(OR($Q529=Parametres!$G$2,$Q529=Parametres!$G$3),J529,D529)</f>
        <v>726.65</v>
      </c>
      <c r="P529" s="151">
        <f>+IF(OR($Q529=Parametres!$G$2,$Q529=Parametres!$G$3),K529,E529)</f>
        <v>6259.66</v>
      </c>
      <c r="Q529" s="150" t="str">
        <f t="shared" si="42"/>
        <v>7-Dépenses</v>
      </c>
      <c r="R529" s="149" t="str">
        <f t="shared" si="43"/>
        <v>87</v>
      </c>
      <c r="S529" s="150" t="str">
        <f t="shared" si="44"/>
        <v>_</v>
      </c>
      <c r="T529" s="152" t="str">
        <f>+VLOOKUP($L529,Data_Validation!$A:$D,1,0)</f>
        <v>87C</v>
      </c>
      <c r="U529" s="152" t="str">
        <f>+VLOOKUP($L529,Data_Validation!$A:$D,3,0)</f>
        <v>Véhicules usagés</v>
      </c>
      <c r="V529" s="152" t="str">
        <f>+VLOOKUP($L529,Data_Validation!$A:$D,4,0)</f>
        <v>Chauffage, éclairage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1739</v>
      </c>
      <c r="B530" s="708" t="s">
        <v>830</v>
      </c>
      <c r="C530" s="710">
        <v>5890.78</v>
      </c>
      <c r="D530" s="710">
        <v>439.14</v>
      </c>
      <c r="E530" s="710">
        <v>6329.92</v>
      </c>
      <c r="F530" s="708" t="s">
        <v>2228</v>
      </c>
      <c r="G530" s="708" t="s">
        <v>2264</v>
      </c>
      <c r="H530" s="664" t="s">
        <v>2997</v>
      </c>
      <c r="I530" s="663"/>
      <c r="J530" s="663"/>
      <c r="K530" s="663"/>
      <c r="L530" s="149" t="str">
        <f t="shared" si="40"/>
        <v>29G</v>
      </c>
      <c r="M530" s="150" t="str">
        <f t="shared" si="41"/>
        <v>FONDS PENSIONS - PIECE BMW</v>
      </c>
      <c r="N530" s="151">
        <f>+IF(OR($Q530=Parametres!$G$2,$Q530=Parametres!$G$3),I530,C530)</f>
        <v>5890.78</v>
      </c>
      <c r="O530" s="151">
        <f>+IF(OR($Q530=Parametres!$G$2,$Q530=Parametres!$G$3),J530,D530)</f>
        <v>439.14</v>
      </c>
      <c r="P530" s="151">
        <f>+IF(OR($Q530=Parametres!$G$2,$Q530=Parametres!$G$3),K530,E530)</f>
        <v>6329.92</v>
      </c>
      <c r="Q530" s="150" t="str">
        <f t="shared" si="42"/>
        <v>7-Dépenses</v>
      </c>
      <c r="R530" s="149" t="str">
        <f t="shared" si="43"/>
        <v>29</v>
      </c>
      <c r="S530" s="150" t="str">
        <f t="shared" si="44"/>
        <v>_</v>
      </c>
      <c r="T530" s="152" t="str">
        <f>+VLOOKUP($L530,Data_Validation!$A:$D,1,0)</f>
        <v>29G</v>
      </c>
      <c r="U530" s="152" t="str">
        <f>+VLOOKUP($L530,Data_Validation!$A:$D,3,0)</f>
        <v>Pièces</v>
      </c>
      <c r="V530" s="152" t="str">
        <f>+VLOOKUP($L530,Data_Validation!$A:$D,4,0)</f>
        <v>csst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1639</v>
      </c>
      <c r="B531" s="708" t="s">
        <v>896</v>
      </c>
      <c r="C531" s="710">
        <v>5983.05</v>
      </c>
      <c r="D531" s="710">
        <v>1680.03</v>
      </c>
      <c r="E531" s="710">
        <v>7663.08</v>
      </c>
      <c r="F531" s="708" t="s">
        <v>2228</v>
      </c>
      <c r="G531" s="708" t="s">
        <v>2257</v>
      </c>
      <c r="H531" s="664" t="s">
        <v>2997</v>
      </c>
      <c r="I531" s="663"/>
      <c r="J531" s="663"/>
      <c r="K531" s="663"/>
      <c r="L531" s="149" t="str">
        <f t="shared" si="40"/>
        <v>68A</v>
      </c>
      <c r="M531" s="150" t="str">
        <f t="shared" si="41"/>
        <v>TRAV. GRACIEUX - NEUF BMW</v>
      </c>
      <c r="N531" s="151">
        <f>+IF(OR($Q531=Parametres!$G$2,$Q531=Parametres!$G$3),I531,C531)</f>
        <v>5983.05</v>
      </c>
      <c r="O531" s="151">
        <f>+IF(OR($Q531=Parametres!$G$2,$Q531=Parametres!$G$3),J531,D531)</f>
        <v>1680.03</v>
      </c>
      <c r="P531" s="151">
        <f>+IF(OR($Q531=Parametres!$G$2,$Q531=Parametres!$G$3),K531,E531)</f>
        <v>7663.08</v>
      </c>
      <c r="Q531" s="150" t="str">
        <f t="shared" si="42"/>
        <v>7-Dépenses</v>
      </c>
      <c r="R531" s="149" t="str">
        <f t="shared" si="43"/>
        <v>68</v>
      </c>
      <c r="S531" s="150" t="str">
        <f t="shared" si="44"/>
        <v>_</v>
      </c>
      <c r="T531" s="152" t="str">
        <f>+VLOOKUP($L531,Data_Validation!$A:$D,1,0)</f>
        <v>68A</v>
      </c>
      <c r="U531" s="152" t="str">
        <f>+VLOOKUP($L531,Data_Validation!$A:$D,3,0)</f>
        <v>Véhicules neufs</v>
      </c>
      <c r="V531" s="152" t="str">
        <f>+VLOOKUP($L531,Data_Validation!$A:$D,4,0)</f>
        <v>service gratuit 1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1156</v>
      </c>
      <c r="B532" s="708" t="s">
        <v>800</v>
      </c>
      <c r="C532" s="710">
        <v>6039.01</v>
      </c>
      <c r="D532" s="710">
        <v>1677.99</v>
      </c>
      <c r="E532" s="710">
        <v>7717</v>
      </c>
      <c r="F532" s="708" t="s">
        <v>2228</v>
      </c>
      <c r="G532" s="708" t="s">
        <v>2266</v>
      </c>
      <c r="H532" s="664" t="s">
        <v>2997</v>
      </c>
      <c r="I532" s="663"/>
      <c r="J532" s="663"/>
      <c r="K532" s="663"/>
      <c r="L532" s="149" t="str">
        <f t="shared" si="40"/>
        <v>71A</v>
      </c>
      <c r="M532" s="150" t="str">
        <f t="shared" si="41"/>
        <v>FRAIS REPRESENTATION - NEUF BMW</v>
      </c>
      <c r="N532" s="151">
        <f>+IF(OR($Q532=Parametres!$G$2,$Q532=Parametres!$G$3),I532,C532)</f>
        <v>6039.01</v>
      </c>
      <c r="O532" s="151">
        <f>+IF(OR($Q532=Parametres!$G$2,$Q532=Parametres!$G$3),J532,D532)</f>
        <v>1677.99</v>
      </c>
      <c r="P532" s="151">
        <f>+IF(OR($Q532=Parametres!$G$2,$Q532=Parametres!$G$3),K532,E532)</f>
        <v>7717</v>
      </c>
      <c r="Q532" s="150" t="str">
        <f t="shared" si="42"/>
        <v>7-Dépenses</v>
      </c>
      <c r="R532" s="149" t="str">
        <f t="shared" si="43"/>
        <v>71</v>
      </c>
      <c r="S532" s="150" t="str">
        <f t="shared" si="44"/>
        <v>_</v>
      </c>
      <c r="T532" s="152" t="str">
        <f>+VLOOKUP($L532,Data_Validation!$A:$D,1,0)</f>
        <v>71A</v>
      </c>
      <c r="U532" s="152" t="str">
        <f>+VLOOKUP($L532,Data_Validation!$A:$D,3,0)</f>
        <v>Véhicules neufs</v>
      </c>
      <c r="V532" s="152" t="str">
        <f>+VLOOKUP($L532,Data_Validation!$A:$D,4,0)</f>
        <v>Frais de déplacement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1686</v>
      </c>
      <c r="B533" s="708" t="s">
        <v>840</v>
      </c>
      <c r="C533" s="709">
        <v>6164.51</v>
      </c>
      <c r="D533" s="709">
        <v>616.84</v>
      </c>
      <c r="E533" s="709">
        <v>6781.35</v>
      </c>
      <c r="F533" s="708" t="s">
        <v>2228</v>
      </c>
      <c r="G533" s="708" t="s">
        <v>2280</v>
      </c>
      <c r="H533" s="709" t="s">
        <v>2997</v>
      </c>
      <c r="I533" s="710"/>
      <c r="J533" s="710"/>
      <c r="K533" s="710"/>
      <c r="L533" s="149" t="str">
        <f t="shared" si="40"/>
        <v>84C</v>
      </c>
      <c r="M533" s="150" t="str">
        <f t="shared" si="41"/>
        <v>TAXES BATISSE - USAGE BMW</v>
      </c>
      <c r="N533" s="151">
        <f>+IF(OR($Q533=Parametres!$G$2,$Q533=Parametres!$G$3),I533,C533)</f>
        <v>6164.51</v>
      </c>
      <c r="O533" s="151">
        <f>+IF(OR($Q533=Parametres!$G$2,$Q533=Parametres!$G$3),J533,D533)</f>
        <v>616.84</v>
      </c>
      <c r="P533" s="151">
        <f>+IF(OR($Q533=Parametres!$G$2,$Q533=Parametres!$G$3),K533,E533)</f>
        <v>6781.35</v>
      </c>
      <c r="Q533" s="150" t="str">
        <f t="shared" si="42"/>
        <v>7-Dépenses</v>
      </c>
      <c r="R533" s="149" t="str">
        <f t="shared" si="43"/>
        <v>84</v>
      </c>
      <c r="S533" s="150" t="str">
        <f t="shared" si="44"/>
        <v>_</v>
      </c>
      <c r="T533" s="152" t="str">
        <f>+VLOOKUP($L533,Data_Validation!$A:$D,1,0)</f>
        <v>84C</v>
      </c>
      <c r="U533" s="152" t="str">
        <f>+VLOOKUP($L533,Data_Validation!$A:$D,3,0)</f>
        <v>Véhicules usagés</v>
      </c>
      <c r="V533" s="152" t="str">
        <f>+VLOOKUP($L533,Data_Validation!$A:$D,4,0)</f>
        <v>Taxes foncières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1667</v>
      </c>
      <c r="B534" s="708" t="s">
        <v>863</v>
      </c>
      <c r="C534" s="709">
        <v>6248.45</v>
      </c>
      <c r="D534" s="709">
        <v>1001.61</v>
      </c>
      <c r="E534" s="709">
        <v>7250.06</v>
      </c>
      <c r="F534" s="708" t="s">
        <v>2228</v>
      </c>
      <c r="G534" s="708" t="s">
        <v>2282</v>
      </c>
      <c r="H534" s="709" t="s">
        <v>2997</v>
      </c>
      <c r="I534" s="710"/>
      <c r="J534" s="710"/>
      <c r="K534" s="710"/>
      <c r="L534" s="149" t="str">
        <f t="shared" si="40"/>
        <v>73C</v>
      </c>
      <c r="M534" s="150" t="str">
        <f t="shared" si="41"/>
        <v>REMISE CARTE CREDIT - USAGE BMW</v>
      </c>
      <c r="N534" s="151">
        <f>+IF(OR($Q534=Parametres!$G$2,$Q534=Parametres!$G$3),I534,C534)</f>
        <v>6248.45</v>
      </c>
      <c r="O534" s="498">
        <f>+IF(OR($Q534=Parametres!$G$2,$Q534=Parametres!$G$3),J534,D534)</f>
        <v>1001.61</v>
      </c>
      <c r="P534" s="151">
        <f>+IF(OR($Q534=Parametres!$G$2,$Q534=Parametres!$G$3),K534,E534)</f>
        <v>7250.06</v>
      </c>
      <c r="Q534" s="150" t="str">
        <f t="shared" si="42"/>
        <v>7-Dépenses</v>
      </c>
      <c r="R534" s="149" t="str">
        <f t="shared" si="43"/>
        <v>73</v>
      </c>
      <c r="S534" s="150" t="str">
        <f t="shared" si="44"/>
        <v>_</v>
      </c>
      <c r="T534" s="152" t="str">
        <f>+VLOOKUP($L534,Data_Validation!$A:$D,1,0)</f>
        <v>73C</v>
      </c>
      <c r="U534" s="152" t="str">
        <f>+VLOOKUP($L534,Data_Validation!$A:$D,3,0)</f>
        <v>Véhicules usagés</v>
      </c>
      <c r="V534" s="152" t="str">
        <f>+VLOOKUP($L534,Data_Validation!$A:$D,4,0)</f>
        <v>frais bancaires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1682</v>
      </c>
      <c r="B535" s="708" t="s">
        <v>853</v>
      </c>
      <c r="C535" s="710">
        <v>6307.3</v>
      </c>
      <c r="D535" s="710">
        <v>630.73</v>
      </c>
      <c r="E535" s="710">
        <v>6938.03</v>
      </c>
      <c r="F535" s="708" t="s">
        <v>2228</v>
      </c>
      <c r="G535" s="708" t="s">
        <v>2283</v>
      </c>
      <c r="H535" s="664" t="s">
        <v>2997</v>
      </c>
      <c r="I535" s="663"/>
      <c r="J535" s="663"/>
      <c r="K535" s="663"/>
      <c r="L535" s="149" t="str">
        <f t="shared" si="40"/>
        <v>74C</v>
      </c>
      <c r="M535" s="150" t="str">
        <f t="shared" si="41"/>
        <v>FRAIS LEGAUX &amp; CTB - USAGE BMW</v>
      </c>
      <c r="N535" s="151">
        <f>+IF(OR($Q535=Parametres!$G$2,$Q535=Parametres!$G$3),I535,C535)</f>
        <v>6307.3</v>
      </c>
      <c r="O535" s="151">
        <f>+IF(OR($Q535=Parametres!$G$2,$Q535=Parametres!$G$3),J535,D535)</f>
        <v>630.73</v>
      </c>
      <c r="P535" s="151">
        <f>+IF(OR($Q535=Parametres!$G$2,$Q535=Parametres!$G$3),K535,E535)</f>
        <v>6938.03</v>
      </c>
      <c r="Q535" s="150" t="str">
        <f t="shared" si="42"/>
        <v>7-Dépenses</v>
      </c>
      <c r="R535" s="149" t="str">
        <f t="shared" si="43"/>
        <v>74</v>
      </c>
      <c r="S535" s="150" t="str">
        <f t="shared" si="44"/>
        <v>_</v>
      </c>
      <c r="T535" s="152" t="str">
        <f>+VLOOKUP($L535,Data_Validation!$A:$D,1,0)</f>
        <v>74C</v>
      </c>
      <c r="U535" s="152" t="str">
        <f>+VLOOKUP($L535,Data_Validation!$A:$D,3,0)</f>
        <v>Véhicules usagés</v>
      </c>
      <c r="V535" s="152" t="str">
        <f>+VLOOKUP($L535,Data_Validation!$A:$D,4,0)</f>
        <v>honoraires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1702</v>
      </c>
      <c r="B536" s="708" t="s">
        <v>815</v>
      </c>
      <c r="C536" s="710">
        <v>6414.43</v>
      </c>
      <c r="D536" s="710">
        <v>174.55</v>
      </c>
      <c r="E536" s="710">
        <v>6588.98</v>
      </c>
      <c r="F536" s="708" t="s">
        <v>2228</v>
      </c>
      <c r="G536" s="708" t="s">
        <v>2264</v>
      </c>
      <c r="H536" s="664" t="s">
        <v>2997</v>
      </c>
      <c r="I536" s="663"/>
      <c r="J536" s="663"/>
      <c r="K536" s="663"/>
      <c r="L536" s="149" t="str">
        <f t="shared" si="40"/>
        <v>29C</v>
      </c>
      <c r="M536" s="150" t="str">
        <f t="shared" si="41"/>
        <v>FONDS PENSIONS - USAGE BMW</v>
      </c>
      <c r="N536" s="151">
        <f>+IF(OR($Q536=Parametres!$G$2,$Q536=Parametres!$G$3),I536,C536)</f>
        <v>6414.43</v>
      </c>
      <c r="O536" s="497">
        <f>+IF(OR($Q536=Parametres!$G$2,$Q536=Parametres!$G$3),J536,D536)</f>
        <v>174.55</v>
      </c>
      <c r="P536" s="151">
        <f>+IF(OR($Q536=Parametres!$G$2,$Q536=Parametres!$G$3),K536,E536)</f>
        <v>6588.98</v>
      </c>
      <c r="Q536" s="150" t="str">
        <f t="shared" si="42"/>
        <v>7-Dépenses</v>
      </c>
      <c r="R536" s="149" t="str">
        <f t="shared" si="43"/>
        <v>29</v>
      </c>
      <c r="S536" s="150" t="str">
        <f t="shared" si="44"/>
        <v>_</v>
      </c>
      <c r="T536" s="152" t="str">
        <f>+VLOOKUP($L536,Data_Validation!$A:$D,1,0)</f>
        <v>29C</v>
      </c>
      <c r="U536" s="152" t="str">
        <f>+VLOOKUP($L536,Data_Validation!$A:$D,3,0)</f>
        <v>Véhicules usagés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1137</v>
      </c>
      <c r="B537" s="708" t="s">
        <v>869</v>
      </c>
      <c r="C537" s="709">
        <v>6554.83</v>
      </c>
      <c r="D537" s="709">
        <v>523.35</v>
      </c>
      <c r="E537" s="709">
        <v>7078.18</v>
      </c>
      <c r="F537" s="708" t="s">
        <v>2228</v>
      </c>
      <c r="G537" s="708" t="s">
        <v>2271</v>
      </c>
      <c r="H537" s="709" t="s">
        <v>2997</v>
      </c>
      <c r="I537" s="710"/>
      <c r="J537" s="710"/>
      <c r="K537" s="710"/>
      <c r="L537" s="149" t="str">
        <f t="shared" si="40"/>
        <v>77A</v>
      </c>
      <c r="M537" s="150" t="str">
        <f t="shared" si="41"/>
        <v>FRAIS DIVERS - NEUF BMW</v>
      </c>
      <c r="N537" s="151">
        <f>+IF(OR($Q537=Parametres!$G$2,$Q537=Parametres!$G$3),I537,C537)</f>
        <v>6554.83</v>
      </c>
      <c r="O537" s="151">
        <f>+IF(OR($Q537=Parametres!$G$2,$Q537=Parametres!$G$3),J537,D537)</f>
        <v>523.35</v>
      </c>
      <c r="P537" s="151">
        <f>+IF(OR($Q537=Parametres!$G$2,$Q537=Parametres!$G$3),K537,E537)</f>
        <v>7078.18</v>
      </c>
      <c r="Q537" s="150" t="str">
        <f t="shared" si="42"/>
        <v>7-Dépenses</v>
      </c>
      <c r="R537" s="149" t="str">
        <f t="shared" si="43"/>
        <v>77</v>
      </c>
      <c r="S537" s="150" t="str">
        <f t="shared" si="44"/>
        <v>_</v>
      </c>
      <c r="T537" s="152" t="str">
        <f>+VLOOKUP($L537,Data_Validation!$A:$D,1,0)</f>
        <v>77A</v>
      </c>
      <c r="U537" s="152" t="str">
        <f>+VLOOKUP($L537,Data_Validation!$A:$D,3,0)</f>
        <v>Véhicules neufs</v>
      </c>
      <c r="V537" s="152" t="str">
        <f>+VLOOKUP($L537,Data_Validation!$A:$D,4,0)</f>
        <v>divers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1684</v>
      </c>
      <c r="B538" s="708" t="s">
        <v>839</v>
      </c>
      <c r="C538" s="709">
        <v>6604.87</v>
      </c>
      <c r="D538" s="709">
        <v>660.9</v>
      </c>
      <c r="E538" s="709">
        <v>7265.77</v>
      </c>
      <c r="F538" s="708" t="s">
        <v>2228</v>
      </c>
      <c r="G538" s="708" t="s">
        <v>2272</v>
      </c>
      <c r="H538" s="709" t="s">
        <v>2997</v>
      </c>
      <c r="I538" s="710"/>
      <c r="J538" s="710"/>
      <c r="K538" s="710"/>
      <c r="L538" s="149" t="str">
        <f t="shared" si="40"/>
        <v>89E</v>
      </c>
      <c r="M538" s="150" t="str">
        <f t="shared" si="41"/>
        <v>TAXES &amp; PERMIS - SERV. BMW</v>
      </c>
      <c r="N538" s="151">
        <f>+IF(OR($Q538=Parametres!$G$2,$Q538=Parametres!$G$3),I538,C538)</f>
        <v>6604.87</v>
      </c>
      <c r="O538" s="497">
        <f>+IF(OR($Q538=Parametres!$G$2,$Q538=Parametres!$G$3),J538,D538)</f>
        <v>660.9</v>
      </c>
      <c r="P538" s="151">
        <f>+IF(OR($Q538=Parametres!$G$2,$Q538=Parametres!$G$3),K538,E538)</f>
        <v>7265.77</v>
      </c>
      <c r="Q538" s="150" t="str">
        <f t="shared" si="42"/>
        <v>7-Dépenses</v>
      </c>
      <c r="R538" s="149" t="str">
        <f t="shared" si="43"/>
        <v>89</v>
      </c>
      <c r="S538" s="150" t="str">
        <f t="shared" si="44"/>
        <v>_</v>
      </c>
      <c r="T538" s="152" t="str">
        <f>+VLOOKUP($L538,Data_Validation!$A:$D,1,0)</f>
        <v>89E</v>
      </c>
      <c r="U538" s="152" t="str">
        <f>+VLOOKUP($L538,Data_Validation!$A:$D,3,0)</f>
        <v>Service</v>
      </c>
      <c r="V538" s="152" t="str">
        <f>+VLOOKUP($L538,Data_Validation!$A:$D,4,0)</f>
        <v>Taxes d`affaires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2854</v>
      </c>
      <c r="B539" s="708" t="s">
        <v>2843</v>
      </c>
      <c r="C539" s="709">
        <v>6975</v>
      </c>
      <c r="D539" s="709">
        <v>550</v>
      </c>
      <c r="E539" s="709">
        <v>7525</v>
      </c>
      <c r="F539" s="708" t="s">
        <v>2228</v>
      </c>
      <c r="G539" s="708" t="s">
        <v>2281</v>
      </c>
      <c r="H539" s="709" t="s">
        <v>2997</v>
      </c>
      <c r="I539" s="710"/>
      <c r="J539" s="710"/>
      <c r="K539" s="710"/>
      <c r="L539" s="149" t="str">
        <f t="shared" si="40"/>
        <v>70L</v>
      </c>
      <c r="M539" s="150" t="str">
        <f t="shared" si="41"/>
        <v>CAMION PIECES - PIECES BMW</v>
      </c>
      <c r="N539" s="151">
        <f>+IF(OR($Q539=Parametres!$G$2,$Q539=Parametres!$G$3),I539,C539)</f>
        <v>6975</v>
      </c>
      <c r="O539" s="151">
        <f>+IF(OR($Q539=Parametres!$G$2,$Q539=Parametres!$G$3),J539,D539)</f>
        <v>550</v>
      </c>
      <c r="P539" s="151">
        <f>+IF(OR($Q539=Parametres!$G$2,$Q539=Parametres!$G$3),K539,E539)</f>
        <v>7525</v>
      </c>
      <c r="Q539" s="150" t="str">
        <f t="shared" si="42"/>
        <v>7-Dépenses</v>
      </c>
      <c r="R539" s="149" t="str">
        <f t="shared" si="43"/>
        <v>70</v>
      </c>
      <c r="S539" s="150" t="str">
        <f t="shared" si="44"/>
        <v>_</v>
      </c>
      <c r="T539" s="152" t="str">
        <f>+VLOOKUP($L539,Data_Validation!$A:$D,1,0)</f>
        <v>70L</v>
      </c>
      <c r="U539" s="152" t="str">
        <f>+VLOOKUP($L539,Data_Validation!$A:$D,3,0)</f>
        <v>Pièces</v>
      </c>
      <c r="V539" s="152" t="str">
        <f>+VLOOKUP($L539,Data_Validation!$A:$D,4,0)</f>
        <v>Services extérieurs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1674</v>
      </c>
      <c r="B540" s="708" t="s">
        <v>851</v>
      </c>
      <c r="C540" s="710">
        <v>7057.4</v>
      </c>
      <c r="D540" s="710">
        <v>956.72</v>
      </c>
      <c r="E540" s="710">
        <v>8014.12</v>
      </c>
      <c r="F540" s="708" t="s">
        <v>2228</v>
      </c>
      <c r="G540" s="708" t="s">
        <v>2281</v>
      </c>
      <c r="H540" s="664" t="s">
        <v>2997</v>
      </c>
      <c r="I540" s="663"/>
      <c r="J540" s="663"/>
      <c r="K540" s="663"/>
      <c r="L540" s="149" t="str">
        <f t="shared" si="40"/>
        <v>70C</v>
      </c>
      <c r="M540" s="150" t="str">
        <f t="shared" si="41"/>
        <v>SERV. EXTERIEURS - USAGE BMW</v>
      </c>
      <c r="N540" s="151">
        <f>+IF(OR($Q540=Parametres!$G$2,$Q540=Parametres!$G$3),I540,C540)</f>
        <v>7057.4</v>
      </c>
      <c r="O540" s="151">
        <f>+IF(OR($Q540=Parametres!$G$2,$Q540=Parametres!$G$3),J540,D540)</f>
        <v>956.72</v>
      </c>
      <c r="P540" s="151">
        <f>+IF(OR($Q540=Parametres!$G$2,$Q540=Parametres!$G$3),K540,E540)</f>
        <v>8014.12</v>
      </c>
      <c r="Q540" s="150" t="str">
        <f t="shared" si="42"/>
        <v>7-Dépenses</v>
      </c>
      <c r="R540" s="149" t="str">
        <f t="shared" si="43"/>
        <v>70</v>
      </c>
      <c r="S540" s="150" t="str">
        <f t="shared" si="44"/>
        <v>_</v>
      </c>
      <c r="T540" s="152" t="str">
        <f>+VLOOKUP($L540,Data_Validation!$A:$D,1,0)</f>
        <v>70C</v>
      </c>
      <c r="U540" s="152" t="str">
        <f>+VLOOKUP($L540,Data_Validation!$A:$D,3,0)</f>
        <v>Véhicules usagés</v>
      </c>
      <c r="V540" s="152" t="str">
        <f>+VLOOKUP($L540,Data_Validation!$A:$D,4,0)</f>
        <v>services extérieurs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1152</v>
      </c>
      <c r="B541" s="708" t="s">
        <v>843</v>
      </c>
      <c r="C541" s="710">
        <v>7641.58</v>
      </c>
      <c r="D541" s="710">
        <v>290.75</v>
      </c>
      <c r="E541" s="710">
        <v>7932.33</v>
      </c>
      <c r="F541" s="708" t="s">
        <v>2228</v>
      </c>
      <c r="G541" s="708" t="s">
        <v>2271</v>
      </c>
      <c r="H541" s="664" t="s">
        <v>2997</v>
      </c>
      <c r="I541" s="663"/>
      <c r="J541" s="663"/>
      <c r="K541" s="663"/>
      <c r="L541" s="149" t="str">
        <f t="shared" si="40"/>
        <v>77E</v>
      </c>
      <c r="M541" s="150" t="str">
        <f t="shared" si="41"/>
        <v>FRAIS DIVERS - SERV. BMW</v>
      </c>
      <c r="N541" s="151">
        <f>+IF(OR($Q541=Parametres!$G$2,$Q541=Parametres!$G$3),I541,C541)</f>
        <v>7641.58</v>
      </c>
      <c r="O541" s="151">
        <f>+IF(OR($Q541=Parametres!$G$2,$Q541=Parametres!$G$3),J541,D541)</f>
        <v>290.75</v>
      </c>
      <c r="P541" s="151">
        <f>+IF(OR($Q541=Parametres!$G$2,$Q541=Parametres!$G$3),K541,E541)</f>
        <v>7932.33</v>
      </c>
      <c r="Q541" s="150" t="str">
        <f t="shared" si="42"/>
        <v>7-Dépenses</v>
      </c>
      <c r="R541" s="149" t="str">
        <f t="shared" si="43"/>
        <v>77</v>
      </c>
      <c r="S541" s="150" t="str">
        <f t="shared" si="44"/>
        <v>_</v>
      </c>
      <c r="T541" s="152" t="str">
        <f>+VLOOKUP($L541,Data_Validation!$A:$D,1,0)</f>
        <v>77E</v>
      </c>
      <c r="U541" s="152" t="str">
        <f>+VLOOKUP($L541,Data_Validation!$A:$D,3,0)</f>
        <v>Service</v>
      </c>
      <c r="V541" s="152" t="str">
        <f>+VLOOKUP($L541,Data_Validation!$A:$D,4,0)</f>
        <v>divers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1619</v>
      </c>
      <c r="B542" s="708" t="s">
        <v>788</v>
      </c>
      <c r="C542" s="709">
        <v>7866.82</v>
      </c>
      <c r="D542" s="709">
        <v>922.74</v>
      </c>
      <c r="E542" s="709">
        <v>8789.56</v>
      </c>
      <c r="F542" s="708" t="s">
        <v>2228</v>
      </c>
      <c r="G542" s="708" t="s">
        <v>2262</v>
      </c>
      <c r="H542" s="709" t="s">
        <v>2997</v>
      </c>
      <c r="I542" s="710"/>
      <c r="J542" s="710"/>
      <c r="K542" s="710"/>
      <c r="L542" s="149" t="str">
        <f t="shared" si="40"/>
        <v>78G</v>
      </c>
      <c r="M542" s="150" t="str">
        <f t="shared" si="41"/>
        <v>TRANSPORT - PIECE BMW</v>
      </c>
      <c r="N542" s="151">
        <f>+IF(OR($Q542=Parametres!$G$2,$Q542=Parametres!$G$3),I542,C542)</f>
        <v>7866.82</v>
      </c>
      <c r="O542" s="497">
        <f>+IF(OR($Q542=Parametres!$G$2,$Q542=Parametres!$G$3),J542,D542)</f>
        <v>922.74</v>
      </c>
      <c r="P542" s="151">
        <f>+IF(OR($Q542=Parametres!$G$2,$Q542=Parametres!$G$3),K542,E542)</f>
        <v>8789.56</v>
      </c>
      <c r="Q542" s="150" t="str">
        <f t="shared" si="42"/>
        <v>7-Dépenses</v>
      </c>
      <c r="R542" s="149" t="str">
        <f t="shared" si="43"/>
        <v>78</v>
      </c>
      <c r="S542" s="150" t="str">
        <f t="shared" si="44"/>
        <v>_</v>
      </c>
      <c r="T542" s="152" t="str">
        <f>+VLOOKUP($L542,Data_Validation!$A:$D,1,0)</f>
        <v>78G</v>
      </c>
      <c r="U542" s="152" t="str">
        <f>+VLOOKUP($L542,Data_Validation!$A:$D,3,0)</f>
        <v>pièces</v>
      </c>
      <c r="V542" s="152" t="str">
        <f>+VLOOKUP($L542,Data_Validation!$A:$D,4,0)</f>
        <v>Frais postaux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1188</v>
      </c>
      <c r="B543" s="708" t="s">
        <v>866</v>
      </c>
      <c r="C543" s="709">
        <v>8760</v>
      </c>
      <c r="D543" s="709">
        <v>869.43</v>
      </c>
      <c r="E543" s="709">
        <v>9629.43</v>
      </c>
      <c r="F543" s="708" t="s">
        <v>2228</v>
      </c>
      <c r="G543" s="708" t="s">
        <v>2277</v>
      </c>
      <c r="H543" s="709" t="s">
        <v>2997</v>
      </c>
      <c r="I543" s="710"/>
      <c r="J543" s="710"/>
      <c r="K543" s="710"/>
      <c r="L543" s="149" t="str">
        <f t="shared" si="40"/>
        <v>91G</v>
      </c>
      <c r="M543" s="150" t="str">
        <f t="shared" si="41"/>
        <v>DEPREC. EQUIP. - PIECE BMW</v>
      </c>
      <c r="N543" s="151">
        <f>+IF(OR($Q543=Parametres!$G$2,$Q543=Parametres!$G$3),I543,C543)</f>
        <v>8760</v>
      </c>
      <c r="O543" s="497">
        <f>+IF(OR($Q543=Parametres!$G$2,$Q543=Parametres!$G$3),J543,D543)</f>
        <v>869.43</v>
      </c>
      <c r="P543" s="151">
        <f>+IF(OR($Q543=Parametres!$G$2,$Q543=Parametres!$G$3),K543,E543)</f>
        <v>9629.43</v>
      </c>
      <c r="Q543" s="150" t="str">
        <f t="shared" si="42"/>
        <v>7-Dépenses</v>
      </c>
      <c r="R543" s="149" t="str">
        <f t="shared" si="43"/>
        <v>91</v>
      </c>
      <c r="S543" s="150" t="str">
        <f t="shared" si="44"/>
        <v>_</v>
      </c>
      <c r="T543" s="152" t="str">
        <f>+VLOOKUP($L543,Data_Validation!$A:$D,1,0)</f>
        <v>91G</v>
      </c>
      <c r="U543" s="152" t="str">
        <f>+VLOOKUP($L543,Data_Validation!$A:$D,3,0)</f>
        <v>pièces</v>
      </c>
      <c r="V543" s="152" t="str">
        <f>+VLOOKUP($L543,Data_Validation!$A:$D,4,0)</f>
        <v>amortissement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1649</v>
      </c>
      <c r="B544" s="708" t="s">
        <v>893</v>
      </c>
      <c r="C544" s="709">
        <v>9634.4699999999993</v>
      </c>
      <c r="D544" s="709">
        <v>1364.61</v>
      </c>
      <c r="E544" s="709">
        <v>10999.08</v>
      </c>
      <c r="F544" s="708" t="s">
        <v>2228</v>
      </c>
      <c r="G544" s="708" t="s">
        <v>2257</v>
      </c>
      <c r="H544" s="709" t="s">
        <v>2997</v>
      </c>
      <c r="I544" s="710"/>
      <c r="J544" s="710"/>
      <c r="K544" s="710"/>
      <c r="L544" s="149" t="str">
        <f t="shared" si="40"/>
        <v>68C</v>
      </c>
      <c r="M544" s="150" t="str">
        <f t="shared" si="41"/>
        <v>TRAV. GRACIEUX - USAGE BMW</v>
      </c>
      <c r="N544" s="151">
        <f>+IF(OR($Q544=Parametres!$G$2,$Q544=Parametres!$G$3),I544,C544)</f>
        <v>9634.4699999999993</v>
      </c>
      <c r="O544" s="151">
        <f>+IF(OR($Q544=Parametres!$G$2,$Q544=Parametres!$G$3),J544,D544)</f>
        <v>1364.61</v>
      </c>
      <c r="P544" s="151">
        <f>+IF(OR($Q544=Parametres!$G$2,$Q544=Parametres!$G$3),K544,E544)</f>
        <v>10999.08</v>
      </c>
      <c r="Q544" s="150" t="str">
        <f t="shared" si="42"/>
        <v>7-Dépenses</v>
      </c>
      <c r="R544" s="149" t="str">
        <f t="shared" si="43"/>
        <v>68</v>
      </c>
      <c r="S544" s="150" t="str">
        <f t="shared" si="44"/>
        <v>_</v>
      </c>
      <c r="T544" s="152" t="str">
        <f>+VLOOKUP($L544,Data_Validation!$A:$D,1,0)</f>
        <v>68C</v>
      </c>
      <c r="U544" s="152" t="str">
        <f>+VLOOKUP($L544,Data_Validation!$A:$D,3,0)</f>
        <v>Véhicules usagés</v>
      </c>
      <c r="V544" s="152" t="str">
        <f>+VLOOKUP($L544,Data_Validation!$A:$D,4,0)</f>
        <v>service gratuit 1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1676</v>
      </c>
      <c r="B545" s="708" t="s">
        <v>848</v>
      </c>
      <c r="C545" s="709">
        <v>9707.7000000000007</v>
      </c>
      <c r="D545" s="709">
        <v>970.77</v>
      </c>
      <c r="E545" s="709">
        <v>10678.47</v>
      </c>
      <c r="F545" s="708" t="s">
        <v>2228</v>
      </c>
      <c r="G545" s="708" t="s">
        <v>2275</v>
      </c>
      <c r="H545" s="709" t="s">
        <v>2997</v>
      </c>
      <c r="I545" s="710"/>
      <c r="J545" s="710"/>
      <c r="K545" s="710"/>
      <c r="L545" s="149" t="str">
        <f t="shared" si="40"/>
        <v>85G</v>
      </c>
      <c r="M545" s="150" t="str">
        <f t="shared" si="41"/>
        <v>ASS. BATISSE - PIECE BMW</v>
      </c>
      <c r="N545" s="151">
        <f>+IF(OR($Q545=Parametres!$G$2,$Q545=Parametres!$G$3),I545,C545)</f>
        <v>9707.7000000000007</v>
      </c>
      <c r="O545" s="497">
        <f>+IF(OR($Q545=Parametres!$G$2,$Q545=Parametres!$G$3),J545,D545)</f>
        <v>970.77</v>
      </c>
      <c r="P545" s="151">
        <f>+IF(OR($Q545=Parametres!$G$2,$Q545=Parametres!$G$3),K545,E545)</f>
        <v>10678.47</v>
      </c>
      <c r="Q545" s="150" t="str">
        <f t="shared" si="42"/>
        <v>7-Dépenses</v>
      </c>
      <c r="R545" s="149" t="str">
        <f t="shared" si="43"/>
        <v>85</v>
      </c>
      <c r="S545" s="150" t="str">
        <f t="shared" si="44"/>
        <v>_</v>
      </c>
      <c r="T545" s="152" t="str">
        <f>+VLOOKUP($L545,Data_Validation!$A:$D,1,0)</f>
        <v>85G</v>
      </c>
      <c r="U545" s="152" t="str">
        <f>+VLOOKUP($L545,Data_Validation!$A:$D,3,0)</f>
        <v>pièces</v>
      </c>
      <c r="V545" s="152" t="str">
        <f>+VLOOKUP($L545,Data_Validation!$A:$D,4,0)</f>
        <v>assurances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1705</v>
      </c>
      <c r="B546" s="708" t="s">
        <v>864</v>
      </c>
      <c r="C546" s="709">
        <v>10193.1</v>
      </c>
      <c r="D546" s="709">
        <v>1099.56</v>
      </c>
      <c r="E546" s="709">
        <v>11292.66</v>
      </c>
      <c r="F546" s="708" t="s">
        <v>2228</v>
      </c>
      <c r="G546" s="708" t="s">
        <v>2278</v>
      </c>
      <c r="H546" s="709" t="s">
        <v>2997</v>
      </c>
      <c r="I546" s="710"/>
      <c r="J546" s="710"/>
      <c r="K546" s="710"/>
      <c r="L546" s="149" t="str">
        <f t="shared" si="40"/>
        <v>53C</v>
      </c>
      <c r="M546" s="150" t="str">
        <f t="shared" si="41"/>
        <v>VEH. COMPAGNIE - USAGE BMW</v>
      </c>
      <c r="N546" s="151">
        <f>+IF(OR($Q546=Parametres!$G$2,$Q546=Parametres!$G$3),I546,C546)</f>
        <v>10193.1</v>
      </c>
      <c r="O546" s="497">
        <f>+IF(OR($Q546=Parametres!$G$2,$Q546=Parametres!$G$3),J546,D546)</f>
        <v>1099.56</v>
      </c>
      <c r="P546" s="151">
        <f>+IF(OR($Q546=Parametres!$G$2,$Q546=Parametres!$G$3),K546,E546)</f>
        <v>11292.66</v>
      </c>
      <c r="Q546" s="150" t="str">
        <f t="shared" si="42"/>
        <v>7-Dépenses</v>
      </c>
      <c r="R546" s="149" t="str">
        <f t="shared" si="43"/>
        <v>53</v>
      </c>
      <c r="S546" s="150" t="str">
        <f t="shared" si="44"/>
        <v>_</v>
      </c>
      <c r="T546" s="152" t="str">
        <f>+VLOOKUP($L546,Data_Validation!$A:$D,1,0)</f>
        <v>53C</v>
      </c>
      <c r="U546" s="152" t="str">
        <f>+VLOOKUP($L546,Data_Validation!$A:$D,3,0)</f>
        <v>Véhicules usagés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1182</v>
      </c>
      <c r="B547" s="708" t="s">
        <v>790</v>
      </c>
      <c r="C547" s="709">
        <v>10217.379999999999</v>
      </c>
      <c r="D547" s="709">
        <v>500.99</v>
      </c>
      <c r="E547" s="709">
        <v>10718.37</v>
      </c>
      <c r="F547" s="708" t="s">
        <v>2228</v>
      </c>
      <c r="G547" s="708" t="s">
        <v>2266</v>
      </c>
      <c r="H547" s="709" t="s">
        <v>2997</v>
      </c>
      <c r="I547" s="710"/>
      <c r="J547" s="710"/>
      <c r="K547" s="710"/>
      <c r="L547" s="149" t="str">
        <f t="shared" si="40"/>
        <v>71E</v>
      </c>
      <c r="M547" s="150" t="str">
        <f t="shared" si="41"/>
        <v>FRAIS REPRESENTATION - SERV. BMW</v>
      </c>
      <c r="N547" s="151">
        <f>+IF(OR($Q547=Parametres!$G$2,$Q547=Parametres!$G$3),I547,C547)</f>
        <v>10217.379999999999</v>
      </c>
      <c r="O547" s="497">
        <f>+IF(OR($Q547=Parametres!$G$2,$Q547=Parametres!$G$3),J547,D547)</f>
        <v>500.99</v>
      </c>
      <c r="P547" s="151">
        <f>+IF(OR($Q547=Parametres!$G$2,$Q547=Parametres!$G$3),K547,E547)</f>
        <v>10718.37</v>
      </c>
      <c r="Q547" s="150" t="str">
        <f t="shared" si="42"/>
        <v>7-Dépenses</v>
      </c>
      <c r="R547" s="149" t="str">
        <f t="shared" si="43"/>
        <v>71</v>
      </c>
      <c r="S547" s="150" t="str">
        <f t="shared" si="44"/>
        <v>_</v>
      </c>
      <c r="T547" s="152" t="str">
        <f>+VLOOKUP($L547,Data_Validation!$A:$D,1,0)</f>
        <v>71E</v>
      </c>
      <c r="U547" s="152" t="str">
        <f>+VLOOKUP($L547,Data_Validation!$A:$D,3,0)</f>
        <v>Service</v>
      </c>
      <c r="V547" s="152" t="str">
        <f>+VLOOKUP($L547,Data_Validation!$A:$D,4,0)</f>
        <v>Frais de déplacement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1694</v>
      </c>
      <c r="B548" s="708" t="s">
        <v>1695</v>
      </c>
      <c r="C548" s="709">
        <v>10260</v>
      </c>
      <c r="D548" s="709">
        <v>1008.86</v>
      </c>
      <c r="E548" s="709">
        <v>11268.86</v>
      </c>
      <c r="F548" s="708" t="s">
        <v>2228</v>
      </c>
      <c r="G548" s="708" t="s">
        <v>2285</v>
      </c>
      <c r="H548" s="709" t="s">
        <v>2997</v>
      </c>
      <c r="I548" s="710"/>
      <c r="J548" s="710"/>
      <c r="K548" s="710"/>
      <c r="L548" s="149" t="str">
        <f t="shared" si="40"/>
        <v>81C</v>
      </c>
      <c r="M548" s="150" t="str">
        <f t="shared" si="41"/>
        <v>AMORT. AMEL. LOC. - USAGE BMW</v>
      </c>
      <c r="N548" s="151">
        <f>+IF(OR($Q548=Parametres!$G$2,$Q548=Parametres!$G$3),I548,C548)</f>
        <v>10260</v>
      </c>
      <c r="O548" s="151">
        <f>+IF(OR($Q548=Parametres!$G$2,$Q548=Parametres!$G$3),J548,D548)</f>
        <v>1008.86</v>
      </c>
      <c r="P548" s="151">
        <f>+IF(OR($Q548=Parametres!$G$2,$Q548=Parametres!$G$3),K548,E548)</f>
        <v>11268.86</v>
      </c>
      <c r="Q548" s="150" t="str">
        <f t="shared" si="42"/>
        <v>7-Dépenses</v>
      </c>
      <c r="R548" s="149" t="str">
        <f t="shared" si="43"/>
        <v>81</v>
      </c>
      <c r="S548" s="150" t="str">
        <f t="shared" si="44"/>
        <v>_</v>
      </c>
      <c r="T548" s="152" t="str">
        <f>+VLOOKUP($L548,Data_Validation!$A:$D,1,0)</f>
        <v>81C</v>
      </c>
      <c r="U548" s="152" t="str">
        <f>+VLOOKUP($L548,Data_Validation!$A:$D,3,0)</f>
        <v>Véhicules usagés</v>
      </c>
      <c r="V548" s="152" t="str">
        <f>+VLOOKUP($L548,Data_Validation!$A:$D,4,0)</f>
        <v>Amortissement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1232</v>
      </c>
      <c r="B549" s="708" t="s">
        <v>846</v>
      </c>
      <c r="C549" s="709">
        <v>11065.97</v>
      </c>
      <c r="D549" s="709">
        <v>1453.3</v>
      </c>
      <c r="E549" s="709">
        <v>12519.27</v>
      </c>
      <c r="F549" s="708" t="s">
        <v>2228</v>
      </c>
      <c r="G549" s="708" t="s">
        <v>2274</v>
      </c>
      <c r="H549" s="709" t="s">
        <v>2997</v>
      </c>
      <c r="I549" s="710"/>
      <c r="J549" s="710"/>
      <c r="K549" s="710"/>
      <c r="L549" s="149" t="str">
        <f t="shared" si="40"/>
        <v>87G</v>
      </c>
      <c r="M549" s="150" t="str">
        <f t="shared" si="41"/>
        <v>CHAUFF. ELECT. EAU - PIECE BMW</v>
      </c>
      <c r="N549" s="151">
        <f>+IF(OR($Q549=Parametres!$G$2,$Q549=Parametres!$G$3),I549,C549)</f>
        <v>11065.97</v>
      </c>
      <c r="O549" s="497">
        <f>+IF(OR($Q549=Parametres!$G$2,$Q549=Parametres!$G$3),J549,D549)</f>
        <v>1453.3</v>
      </c>
      <c r="P549" s="151">
        <f>+IF(OR($Q549=Parametres!$G$2,$Q549=Parametres!$G$3),K549,E549)</f>
        <v>12519.27</v>
      </c>
      <c r="Q549" s="150" t="str">
        <f t="shared" si="42"/>
        <v>7-Dépenses</v>
      </c>
      <c r="R549" s="149" t="str">
        <f t="shared" si="43"/>
        <v>87</v>
      </c>
      <c r="S549" s="150" t="str">
        <f t="shared" si="44"/>
        <v>_</v>
      </c>
      <c r="T549" s="152" t="str">
        <f>+VLOOKUP($L549,Data_Validation!$A:$D,1,0)</f>
        <v>87G</v>
      </c>
      <c r="U549" s="152" t="str">
        <f>+VLOOKUP($L549,Data_Validation!$A:$D,3,0)</f>
        <v>pièces</v>
      </c>
      <c r="V549" s="152" t="str">
        <f>+VLOOKUP($L549,Data_Validation!$A:$D,4,0)</f>
        <v>Chauffage, éclairage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1677</v>
      </c>
      <c r="B550" s="708" t="s">
        <v>908</v>
      </c>
      <c r="C550" s="709">
        <v>11729.01</v>
      </c>
      <c r="D550" s="709">
        <v>2583.73</v>
      </c>
      <c r="E550" s="709">
        <v>14312.74</v>
      </c>
      <c r="F550" s="708" t="s">
        <v>2228</v>
      </c>
      <c r="G550" s="708" t="s">
        <v>2261</v>
      </c>
      <c r="H550" s="709" t="s">
        <v>2997</v>
      </c>
      <c r="I550" s="710"/>
      <c r="J550" s="710"/>
      <c r="K550" s="710"/>
      <c r="L550" s="149" t="str">
        <f t="shared" si="40"/>
        <v>51E</v>
      </c>
      <c r="M550" s="150" t="str">
        <f t="shared" si="41"/>
        <v>UNIFORMES - SERV. BMW</v>
      </c>
      <c r="N550" s="151">
        <f>+IF(OR($Q550=Parametres!$G$2,$Q550=Parametres!$G$3),I550,C550)</f>
        <v>11729.01</v>
      </c>
      <c r="O550" s="497">
        <f>+IF(OR($Q550=Parametres!$G$2,$Q550=Parametres!$G$3),J550,D550)</f>
        <v>2583.73</v>
      </c>
      <c r="P550" s="151">
        <f>+IF(OR($Q550=Parametres!$G$2,$Q550=Parametres!$G$3),K550,E550)</f>
        <v>14312.74</v>
      </c>
      <c r="Q550" s="150" t="str">
        <f t="shared" si="42"/>
        <v>7-Dépenses</v>
      </c>
      <c r="R550" s="149" t="str">
        <f t="shared" si="43"/>
        <v>51</v>
      </c>
      <c r="S550" s="150" t="str">
        <f t="shared" si="44"/>
        <v>_</v>
      </c>
      <c r="T550" s="152" t="str">
        <f>+VLOOKUP($L550,Data_Validation!$A:$D,1,0)</f>
        <v>51E</v>
      </c>
      <c r="U550" s="152" t="str">
        <f>+VLOOKUP($L550,Data_Validation!$A:$D,3,0)</f>
        <v>Service</v>
      </c>
      <c r="V550" s="152" t="str">
        <f>+VLOOKUP($L550,Data_Validation!$A:$D,4,0)</f>
        <v>Uniformes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1719</v>
      </c>
      <c r="B551" s="708" t="s">
        <v>865</v>
      </c>
      <c r="C551" s="709">
        <v>11888.73</v>
      </c>
      <c r="D551" s="709">
        <v>1189.6099999999999</v>
      </c>
      <c r="E551" s="709">
        <v>13078.34</v>
      </c>
      <c r="F551" s="708" t="s">
        <v>2228</v>
      </c>
      <c r="G551" s="708" t="s">
        <v>2272</v>
      </c>
      <c r="H551" s="709" t="s">
        <v>2997</v>
      </c>
      <c r="I551" s="710"/>
      <c r="J551" s="710"/>
      <c r="K551" s="710"/>
      <c r="L551" s="149" t="str">
        <f t="shared" si="40"/>
        <v>89A</v>
      </c>
      <c r="M551" s="150" t="str">
        <f t="shared" si="41"/>
        <v>TAXES &amp; PERMIS - NEUF BMW</v>
      </c>
      <c r="N551" s="151">
        <f>+IF(OR($Q551=Parametres!$G$2,$Q551=Parametres!$G$3),I551,C551)</f>
        <v>11888.73</v>
      </c>
      <c r="O551" s="151">
        <f>+IF(OR($Q551=Parametres!$G$2,$Q551=Parametres!$G$3),J551,D551)</f>
        <v>1189.6099999999999</v>
      </c>
      <c r="P551" s="151">
        <f>+IF(OR($Q551=Parametres!$G$2,$Q551=Parametres!$G$3),K551,E551)</f>
        <v>13078.34</v>
      </c>
      <c r="Q551" s="150" t="str">
        <f t="shared" si="42"/>
        <v>7-Dépenses</v>
      </c>
      <c r="R551" s="149" t="str">
        <f t="shared" si="43"/>
        <v>89</v>
      </c>
      <c r="S551" s="150" t="str">
        <f t="shared" si="44"/>
        <v>_</v>
      </c>
      <c r="T551" s="152" t="str">
        <f>+VLOOKUP($L551,Data_Validation!$A:$D,1,0)</f>
        <v>89A</v>
      </c>
      <c r="U551" s="152" t="str">
        <f>+VLOOKUP($L551,Data_Validation!$A:$D,3,0)</f>
        <v>Véhicules neufs</v>
      </c>
      <c r="V551" s="152" t="str">
        <f>+VLOOKUP($L551,Data_Validation!$A:$D,4,0)</f>
        <v>Taxes d`affaires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1679</v>
      </c>
      <c r="B552" s="708" t="s">
        <v>850</v>
      </c>
      <c r="C552" s="709">
        <v>12134.6</v>
      </c>
      <c r="D552" s="709">
        <v>1213.46</v>
      </c>
      <c r="E552" s="709">
        <v>13348.06</v>
      </c>
      <c r="F552" s="708" t="s">
        <v>2228</v>
      </c>
      <c r="G552" s="708" t="s">
        <v>2275</v>
      </c>
      <c r="H552" s="709" t="s">
        <v>2997</v>
      </c>
      <c r="I552" s="710"/>
      <c r="J552" s="710"/>
      <c r="K552" s="710"/>
      <c r="L552" s="149" t="str">
        <f t="shared" si="40"/>
        <v>85E</v>
      </c>
      <c r="M552" s="150" t="str">
        <f t="shared" si="41"/>
        <v>ASS. BATISSE - SERV. BMW</v>
      </c>
      <c r="N552" s="151">
        <f>+IF(OR($Q552=Parametres!$G$2,$Q552=Parametres!$G$3),I552,C552)</f>
        <v>12134.6</v>
      </c>
      <c r="O552" s="497">
        <f>+IF(OR($Q552=Parametres!$G$2,$Q552=Parametres!$G$3),J552,D552)</f>
        <v>1213.46</v>
      </c>
      <c r="P552" s="151">
        <f>+IF(OR($Q552=Parametres!$G$2,$Q552=Parametres!$G$3),K552,E552)</f>
        <v>13348.06</v>
      </c>
      <c r="Q552" s="150" t="str">
        <f t="shared" si="42"/>
        <v>7-Dépenses</v>
      </c>
      <c r="R552" s="149" t="str">
        <f t="shared" si="43"/>
        <v>85</v>
      </c>
      <c r="S552" s="150" t="str">
        <f t="shared" si="44"/>
        <v>_</v>
      </c>
      <c r="T552" s="152" t="str">
        <f>+VLOOKUP($L552,Data_Validation!$A:$D,1,0)</f>
        <v>85E</v>
      </c>
      <c r="U552" s="152" t="str">
        <f>+VLOOKUP($L552,Data_Validation!$A:$D,3,0)</f>
        <v>Service</v>
      </c>
      <c r="V552" s="152" t="str">
        <f>+VLOOKUP($L552,Data_Validation!$A:$D,4,0)</f>
        <v>assurances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1666</v>
      </c>
      <c r="B553" s="708" t="s">
        <v>870</v>
      </c>
      <c r="C553" s="709">
        <v>12143.7</v>
      </c>
      <c r="D553" s="709">
        <v>1299.98</v>
      </c>
      <c r="E553" s="709">
        <v>13443.68</v>
      </c>
      <c r="F553" s="708" t="s">
        <v>2228</v>
      </c>
      <c r="G553" s="708" t="s">
        <v>2278</v>
      </c>
      <c r="H553" s="709" t="s">
        <v>2997</v>
      </c>
      <c r="I553" s="710"/>
      <c r="J553" s="710"/>
      <c r="K553" s="710"/>
      <c r="L553" s="149" t="str">
        <f t="shared" si="40"/>
        <v>53G</v>
      </c>
      <c r="M553" s="150" t="str">
        <f t="shared" si="41"/>
        <v>VEH. COMPAGNIE - PIECE BMW</v>
      </c>
      <c r="N553" s="151">
        <f>+IF(OR($Q553=Parametres!$G$2,$Q553=Parametres!$G$3),I553,C553)</f>
        <v>12143.7</v>
      </c>
      <c r="O553" s="497">
        <f>+IF(OR($Q553=Parametres!$G$2,$Q553=Parametres!$G$3),J553,D553)</f>
        <v>1299.98</v>
      </c>
      <c r="P553" s="151">
        <f>+IF(OR($Q553=Parametres!$G$2,$Q553=Parametres!$G$3),K553,E553)</f>
        <v>13443.68</v>
      </c>
      <c r="Q553" s="150" t="str">
        <f t="shared" si="42"/>
        <v>7-Dépenses</v>
      </c>
      <c r="R553" s="149" t="str">
        <f t="shared" si="43"/>
        <v>53</v>
      </c>
      <c r="S553" s="150" t="str">
        <f t="shared" si="44"/>
        <v>_</v>
      </c>
      <c r="T553" s="152" t="str">
        <f>+VLOOKUP($L553,Data_Validation!$A:$D,1,0)</f>
        <v>53G</v>
      </c>
      <c r="U553" s="152" t="str">
        <f>+VLOOKUP($L553,Data_Validation!$A:$D,3,0)</f>
        <v>pièces</v>
      </c>
      <c r="V553" s="152" t="str">
        <f>+VLOOKUP($L553,Data_Validation!$A:$D,4,0)</f>
        <v>Frais véhicules de cie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1720</v>
      </c>
      <c r="B554" s="708" t="s">
        <v>867</v>
      </c>
      <c r="C554" s="709">
        <v>12328.95</v>
      </c>
      <c r="D554" s="709">
        <v>1233.67</v>
      </c>
      <c r="E554" s="709">
        <v>13562.62</v>
      </c>
      <c r="F554" s="708" t="s">
        <v>2228</v>
      </c>
      <c r="G554" s="708" t="s">
        <v>2280</v>
      </c>
      <c r="H554" s="709" t="s">
        <v>2997</v>
      </c>
      <c r="I554" s="710"/>
      <c r="J554" s="710"/>
      <c r="K554" s="710"/>
      <c r="L554" s="149" t="str">
        <f t="shared" si="40"/>
        <v>84G</v>
      </c>
      <c r="M554" s="150" t="str">
        <f t="shared" si="41"/>
        <v>TAXES BATISSE - PIECE BMW</v>
      </c>
      <c r="N554" s="151">
        <f>+IF(OR($Q554=Parametres!$G$2,$Q554=Parametres!$G$3),I554,C554)</f>
        <v>12328.95</v>
      </c>
      <c r="O554" s="497">
        <f>+IF(OR($Q554=Parametres!$G$2,$Q554=Parametres!$G$3),J554,D554)</f>
        <v>1233.67</v>
      </c>
      <c r="P554" s="151">
        <f>+IF(OR($Q554=Parametres!$G$2,$Q554=Parametres!$G$3),K554,E554)</f>
        <v>13562.62</v>
      </c>
      <c r="Q554" s="150" t="str">
        <f t="shared" si="42"/>
        <v>7-Dépenses</v>
      </c>
      <c r="R554" s="149" t="str">
        <f t="shared" si="43"/>
        <v>84</v>
      </c>
      <c r="S554" s="150" t="str">
        <f t="shared" si="44"/>
        <v>_</v>
      </c>
      <c r="T554" s="152" t="str">
        <f>+VLOOKUP($L554,Data_Validation!$A:$D,1,0)</f>
        <v>84G</v>
      </c>
      <c r="U554" s="152" t="str">
        <f>+VLOOKUP($L554,Data_Validation!$A:$D,3,0)</f>
        <v>pièces</v>
      </c>
      <c r="V554" s="152" t="str">
        <f>+VLOOKUP($L554,Data_Validation!$A:$D,4,0)</f>
        <v>Taxes foncières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1197</v>
      </c>
      <c r="B555" s="708" t="s">
        <v>842</v>
      </c>
      <c r="C555" s="709">
        <v>12442.76</v>
      </c>
      <c r="D555" s="709">
        <v>3945.12</v>
      </c>
      <c r="E555" s="709">
        <v>16387.88</v>
      </c>
      <c r="F555" s="708" t="s">
        <v>2228</v>
      </c>
      <c r="G555" s="708" t="s">
        <v>2265</v>
      </c>
      <c r="H555" s="709" t="s">
        <v>2997</v>
      </c>
      <c r="I555" s="710"/>
      <c r="J555" s="710"/>
      <c r="K555" s="710"/>
      <c r="L555" s="149" t="str">
        <f t="shared" si="40"/>
        <v>63E</v>
      </c>
      <c r="M555" s="150" t="str">
        <f t="shared" si="41"/>
        <v>AJUST. GARANTIE - SERV. BMW</v>
      </c>
      <c r="N555" s="151">
        <f>+IF(OR($Q555=Parametres!$G$2,$Q555=Parametres!$G$3),I555,C555)</f>
        <v>12442.76</v>
      </c>
      <c r="O555" s="498">
        <f>+IF(OR($Q555=Parametres!$G$2,$Q555=Parametres!$G$3),J555,D555)</f>
        <v>3945.12</v>
      </c>
      <c r="P555" s="151">
        <f>+IF(OR($Q555=Parametres!$G$2,$Q555=Parametres!$G$3),K555,E555)</f>
        <v>16387.88</v>
      </c>
      <c r="Q555" s="150" t="str">
        <f t="shared" si="42"/>
        <v>7-Dépenses</v>
      </c>
      <c r="R555" s="149" t="str">
        <f t="shared" si="43"/>
        <v>63</v>
      </c>
      <c r="S555" s="150" t="str">
        <f t="shared" si="44"/>
        <v>_</v>
      </c>
      <c r="T555" s="152" t="str">
        <f>+VLOOKUP($L555,Data_Validation!$A:$D,1,0)</f>
        <v>63E</v>
      </c>
      <c r="U555" s="152" t="str">
        <f>+VLOOKUP($L555,Data_Validation!$A:$D,3,0)</f>
        <v>Service</v>
      </c>
      <c r="V555" s="152" t="str">
        <f>+VLOOKUP($L555,Data_Validation!$A:$D,4,0)</f>
        <v>service gratuit 2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1690</v>
      </c>
      <c r="B556" s="708" t="s">
        <v>891</v>
      </c>
      <c r="C556" s="710">
        <v>12496.83</v>
      </c>
      <c r="D556" s="710">
        <v>2003.24</v>
      </c>
      <c r="E556" s="710">
        <v>14500.07</v>
      </c>
      <c r="F556" s="708" t="s">
        <v>2228</v>
      </c>
      <c r="G556" s="708" t="s">
        <v>2282</v>
      </c>
      <c r="H556" s="664" t="s">
        <v>2997</v>
      </c>
      <c r="I556" s="663"/>
      <c r="J556" s="663"/>
      <c r="K556" s="663"/>
      <c r="L556" s="149" t="str">
        <f t="shared" si="40"/>
        <v>73G</v>
      </c>
      <c r="M556" s="150" t="str">
        <f t="shared" si="41"/>
        <v>REMISE CARTE CREDIT - PIECE BMW</v>
      </c>
      <c r="N556" s="151">
        <f>+IF(OR($Q556=Parametres!$G$2,$Q556=Parametres!$G$3),I556,C556)</f>
        <v>12496.83</v>
      </c>
      <c r="O556" s="151">
        <f>+IF(OR($Q556=Parametres!$G$2,$Q556=Parametres!$G$3),J556,D556)</f>
        <v>2003.24</v>
      </c>
      <c r="P556" s="151">
        <f>+IF(OR($Q556=Parametres!$G$2,$Q556=Parametres!$G$3),K556,E556)</f>
        <v>14500.07</v>
      </c>
      <c r="Q556" s="150" t="str">
        <f t="shared" si="42"/>
        <v>7-Dépenses</v>
      </c>
      <c r="R556" s="149" t="str">
        <f t="shared" si="43"/>
        <v>73</v>
      </c>
      <c r="S556" s="150" t="str">
        <f t="shared" si="44"/>
        <v>_</v>
      </c>
      <c r="T556" s="152" t="str">
        <f>+VLOOKUP($L556,Data_Validation!$A:$D,1,0)</f>
        <v>73G</v>
      </c>
      <c r="U556" s="152" t="str">
        <f>+VLOOKUP($L556,Data_Validation!$A:$D,3,0)</f>
        <v>pièces</v>
      </c>
      <c r="V556" s="152" t="str">
        <f>+VLOOKUP($L556,Data_Validation!$A:$D,4,0)</f>
        <v>frais bancaires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1718</v>
      </c>
      <c r="B557" s="708" t="s">
        <v>882</v>
      </c>
      <c r="C557" s="709">
        <v>12614.7</v>
      </c>
      <c r="D557" s="709">
        <v>1261.47</v>
      </c>
      <c r="E557" s="709">
        <v>13876.17</v>
      </c>
      <c r="F557" s="708" t="s">
        <v>2228</v>
      </c>
      <c r="G557" s="708" t="s">
        <v>2283</v>
      </c>
      <c r="H557" s="709" t="s">
        <v>2997</v>
      </c>
      <c r="I557" s="710"/>
      <c r="J557" s="710"/>
      <c r="K557" s="710"/>
      <c r="L557" s="149" t="str">
        <f t="shared" si="40"/>
        <v>74G</v>
      </c>
      <c r="M557" s="150" t="str">
        <f t="shared" si="41"/>
        <v>FRAIS LEGAUX &amp; CTB - PIECE BMW</v>
      </c>
      <c r="N557" s="151">
        <f>+IF(OR($Q557=Parametres!$G$2,$Q557=Parametres!$G$3),I557,C557)</f>
        <v>12614.7</v>
      </c>
      <c r="O557" s="151">
        <f>+IF(OR($Q557=Parametres!$G$2,$Q557=Parametres!$G$3),J557,D557)</f>
        <v>1261.47</v>
      </c>
      <c r="P557" s="151">
        <f>+IF(OR($Q557=Parametres!$G$2,$Q557=Parametres!$G$3),K557,E557)</f>
        <v>13876.17</v>
      </c>
      <c r="Q557" s="150" t="str">
        <f t="shared" si="42"/>
        <v>7-Dépenses</v>
      </c>
      <c r="R557" s="149" t="str">
        <f t="shared" si="43"/>
        <v>74</v>
      </c>
      <c r="S557" s="150" t="str">
        <f t="shared" si="44"/>
        <v>_</v>
      </c>
      <c r="T557" s="152" t="str">
        <f>+VLOOKUP($L557,Data_Validation!$A:$D,1,0)</f>
        <v>74G</v>
      </c>
      <c r="U557" s="152" t="str">
        <f>+VLOOKUP($L557,Data_Validation!$A:$D,3,0)</f>
        <v>pièces</v>
      </c>
      <c r="V557" s="152" t="str">
        <f>+VLOOKUP($L557,Data_Validation!$A:$D,4,0)</f>
        <v>honoraires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1673</v>
      </c>
      <c r="B558" s="708" t="s">
        <v>857</v>
      </c>
      <c r="C558" s="710">
        <v>13368.6</v>
      </c>
      <c r="D558" s="710">
        <v>1053.21</v>
      </c>
      <c r="E558" s="710">
        <v>14421.81</v>
      </c>
      <c r="F558" s="708" t="s">
        <v>2228</v>
      </c>
      <c r="G558" s="708" t="s">
        <v>2291</v>
      </c>
      <c r="H558" s="664" t="s">
        <v>2997</v>
      </c>
      <c r="I558" s="663"/>
      <c r="J558" s="663"/>
      <c r="K558" s="663"/>
      <c r="L558" s="149" t="str">
        <f t="shared" si="40"/>
        <v>13C</v>
      </c>
      <c r="M558" s="150" t="str">
        <f t="shared" si="41"/>
        <v>FRAIS LIVRAISON - USAGE BMW</v>
      </c>
      <c r="N558" s="151">
        <f>+IF(OR($Q558=Parametres!$G$2,$Q558=Parametres!$G$3),I558,C558)</f>
        <v>13368.6</v>
      </c>
      <c r="O558" s="151">
        <f>+IF(OR($Q558=Parametres!$G$2,$Q558=Parametres!$G$3),J558,D558)</f>
        <v>1053.21</v>
      </c>
      <c r="P558" s="151">
        <f>+IF(OR($Q558=Parametres!$G$2,$Q558=Parametres!$G$3),K558,E558)</f>
        <v>14421.81</v>
      </c>
      <c r="Q558" s="150" t="str">
        <f t="shared" si="42"/>
        <v>7-Dépenses</v>
      </c>
      <c r="R558" s="149" t="str">
        <f t="shared" si="43"/>
        <v>13</v>
      </c>
      <c r="S558" s="150" t="str">
        <f t="shared" si="44"/>
        <v>_</v>
      </c>
      <c r="T558" s="152" t="str">
        <f>+VLOOKUP($L558,Data_Validation!$A:$D,1,0)</f>
        <v>13C</v>
      </c>
      <c r="U558" s="152" t="str">
        <f>+VLOOKUP($L558,Data_Validation!$A:$D,3,0)</f>
        <v>Véhicules usagés</v>
      </c>
      <c r="V558" s="152" t="str">
        <f>+VLOOKUP($L558,Data_Validation!$A:$D,4,0)</f>
        <v>Frais de livraison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1734</v>
      </c>
      <c r="B559" s="708" t="s">
        <v>920</v>
      </c>
      <c r="C559" s="710">
        <v>13391.3</v>
      </c>
      <c r="D559" s="710">
        <v>1794.59</v>
      </c>
      <c r="E559" s="710">
        <v>15185.89</v>
      </c>
      <c r="F559" s="708" t="s">
        <v>2228</v>
      </c>
      <c r="G559" s="708" t="s">
        <v>2281</v>
      </c>
      <c r="H559" s="664" t="s">
        <v>2997</v>
      </c>
      <c r="I559" s="663"/>
      <c r="J559" s="663"/>
      <c r="K559" s="663"/>
      <c r="L559" s="149" t="str">
        <f t="shared" si="40"/>
        <v>70G</v>
      </c>
      <c r="M559" s="150" t="str">
        <f t="shared" si="41"/>
        <v>SERV. EXTERIEURS - PIECE BMW</v>
      </c>
      <c r="N559" s="151">
        <f>+IF(OR($Q559=Parametres!$G$2,$Q559=Parametres!$G$3),I559,C559)</f>
        <v>13391.3</v>
      </c>
      <c r="O559" s="151">
        <f>+IF(OR($Q559=Parametres!$G$2,$Q559=Parametres!$G$3),J559,D559)</f>
        <v>1794.59</v>
      </c>
      <c r="P559" s="151">
        <f>+IF(OR($Q559=Parametres!$G$2,$Q559=Parametres!$G$3),K559,E559)</f>
        <v>15185.89</v>
      </c>
      <c r="Q559" s="150" t="str">
        <f t="shared" si="42"/>
        <v>7-Dépenses</v>
      </c>
      <c r="R559" s="149" t="str">
        <f t="shared" si="43"/>
        <v>70</v>
      </c>
      <c r="S559" s="150" t="str">
        <f t="shared" si="44"/>
        <v>_</v>
      </c>
      <c r="T559" s="152" t="str">
        <f>+VLOOKUP($L559,Data_Validation!$A:$D,1,0)</f>
        <v>70G</v>
      </c>
      <c r="U559" s="152" t="str">
        <f>+VLOOKUP($L559,Data_Validation!$A:$D,3,0)</f>
        <v>pièces</v>
      </c>
      <c r="V559" s="152" t="str">
        <f>+VLOOKUP($L559,Data_Validation!$A:$D,4,0)</f>
        <v>services extérieurs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1231</v>
      </c>
      <c r="B560" s="708" t="s">
        <v>849</v>
      </c>
      <c r="C560" s="709">
        <v>13832.54</v>
      </c>
      <c r="D560" s="709">
        <v>1816.63</v>
      </c>
      <c r="E560" s="709">
        <v>15649.17</v>
      </c>
      <c r="F560" s="708" t="s">
        <v>2228</v>
      </c>
      <c r="G560" s="708" t="s">
        <v>2274</v>
      </c>
      <c r="H560" s="709" t="s">
        <v>2997</v>
      </c>
      <c r="I560" s="710"/>
      <c r="J560" s="710"/>
      <c r="K560" s="710"/>
      <c r="L560" s="149" t="str">
        <f t="shared" si="40"/>
        <v>87E</v>
      </c>
      <c r="M560" s="150" t="str">
        <f t="shared" si="41"/>
        <v>CHAUFF. ELECT. EAU - SERV. BMW</v>
      </c>
      <c r="N560" s="151">
        <f>+IF(OR($Q560=Parametres!$G$2,$Q560=Parametres!$G$3),I560,C560)</f>
        <v>13832.54</v>
      </c>
      <c r="O560" s="498">
        <f>+IF(OR($Q560=Parametres!$G$2,$Q560=Parametres!$G$3),J560,D560)</f>
        <v>1816.63</v>
      </c>
      <c r="P560" s="151">
        <f>+IF(OR($Q560=Parametres!$G$2,$Q560=Parametres!$G$3),K560,E560)</f>
        <v>15649.17</v>
      </c>
      <c r="Q560" s="150" t="str">
        <f t="shared" si="42"/>
        <v>7-Dépenses</v>
      </c>
      <c r="R560" s="149" t="str">
        <f t="shared" si="43"/>
        <v>87</v>
      </c>
      <c r="S560" s="150" t="str">
        <f t="shared" si="44"/>
        <v>_</v>
      </c>
      <c r="T560" s="152" t="str">
        <f>+VLOOKUP($L560,Data_Validation!$A:$D,1,0)</f>
        <v>87E</v>
      </c>
      <c r="U560" s="152" t="str">
        <f>+VLOOKUP($L560,Data_Validation!$A:$D,3,0)</f>
        <v>Service</v>
      </c>
      <c r="V560" s="152" t="str">
        <f>+VLOOKUP($L560,Data_Validation!$A:$D,4,0)</f>
        <v>Chauffage, éclairage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1786</v>
      </c>
      <c r="B561" s="708" t="s">
        <v>859</v>
      </c>
      <c r="C561" s="709">
        <v>14287.5</v>
      </c>
      <c r="D561" s="709">
        <v>395.57</v>
      </c>
      <c r="E561" s="709">
        <v>14683.07</v>
      </c>
      <c r="F561" s="708" t="s">
        <v>2228</v>
      </c>
      <c r="G561" s="708" t="s">
        <v>2264</v>
      </c>
      <c r="H561" s="709" t="s">
        <v>2997</v>
      </c>
      <c r="I561" s="710"/>
      <c r="J561" s="710"/>
      <c r="K561" s="710"/>
      <c r="L561" s="149" t="str">
        <f t="shared" si="40"/>
        <v>29A</v>
      </c>
      <c r="M561" s="150" t="str">
        <f t="shared" si="41"/>
        <v>FONDS PENSIONS - NEUF BMW</v>
      </c>
      <c r="N561" s="151">
        <f>+IF(OR($Q561=Parametres!$G$2,$Q561=Parametres!$G$3),I561,C561)</f>
        <v>14287.5</v>
      </c>
      <c r="O561" s="497">
        <f>+IF(OR($Q561=Parametres!$G$2,$Q561=Parametres!$G$3),J561,D561)</f>
        <v>395.57</v>
      </c>
      <c r="P561" s="151">
        <f>+IF(OR($Q561=Parametres!$G$2,$Q561=Parametres!$G$3),K561,E561)</f>
        <v>14683.07</v>
      </c>
      <c r="Q561" s="150" t="str">
        <f t="shared" si="42"/>
        <v>7-Dépenses</v>
      </c>
      <c r="R561" s="149" t="str">
        <f t="shared" si="43"/>
        <v>29</v>
      </c>
      <c r="S561" s="150" t="str">
        <f t="shared" si="44"/>
        <v>_</v>
      </c>
      <c r="T561" s="152" t="str">
        <f>+VLOOKUP($L561,Data_Validation!$A:$D,1,0)</f>
        <v>29A</v>
      </c>
      <c r="U561" s="152" t="str">
        <f>+VLOOKUP($L561,Data_Validation!$A:$D,3,0)</f>
        <v>Véhicules neufs</v>
      </c>
      <c r="V561" s="152" t="str">
        <f>+VLOOKUP($L561,Data_Validation!$A:$D,4,0)</f>
        <v>csst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1631</v>
      </c>
      <c r="B562" s="708" t="s">
        <v>876</v>
      </c>
      <c r="C562" s="709">
        <v>14739.74</v>
      </c>
      <c r="D562" s="709">
        <v>1350.6</v>
      </c>
      <c r="E562" s="709">
        <v>16090.34</v>
      </c>
      <c r="F562" s="708" t="s">
        <v>2228</v>
      </c>
      <c r="G562" s="708" t="s">
        <v>2284</v>
      </c>
      <c r="H562" s="709" t="s">
        <v>2997</v>
      </c>
      <c r="I562" s="710"/>
      <c r="J562" s="710"/>
      <c r="K562" s="710"/>
      <c r="L562" s="149" t="str">
        <f t="shared" si="40"/>
        <v>69C</v>
      </c>
      <c r="M562" s="150" t="str">
        <f t="shared" si="41"/>
        <v>FRAIS INFORMATIQUE - USAGE BMW</v>
      </c>
      <c r="N562" s="151">
        <f>+IF(OR($Q562=Parametres!$G$2,$Q562=Parametres!$G$3),I562,C562)</f>
        <v>14739.74</v>
      </c>
      <c r="O562" s="151">
        <f>+IF(OR($Q562=Parametres!$G$2,$Q562=Parametres!$G$3),J562,D562)</f>
        <v>1350.6</v>
      </c>
      <c r="P562" s="151">
        <f>+IF(OR($Q562=Parametres!$G$2,$Q562=Parametres!$G$3),K562,E562)</f>
        <v>16090.34</v>
      </c>
      <c r="Q562" s="150" t="str">
        <f t="shared" si="42"/>
        <v>7-Dépenses</v>
      </c>
      <c r="R562" s="149" t="str">
        <f t="shared" si="43"/>
        <v>69</v>
      </c>
      <c r="S562" s="150" t="str">
        <f t="shared" si="44"/>
        <v>_</v>
      </c>
      <c r="T562" s="152" t="str">
        <f>+VLOOKUP($L562,Data_Validation!$A:$D,1,0)</f>
        <v>69C</v>
      </c>
      <c r="U562" s="152" t="str">
        <f>+VLOOKUP($L562,Data_Validation!$A:$D,3,0)</f>
        <v>Véhicules usagés</v>
      </c>
      <c r="V562" s="152" t="str">
        <f>+VLOOKUP($L562,Data_Validation!$A:$D,4,0)</f>
        <v>informatique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1797</v>
      </c>
      <c r="B563" s="708" t="s">
        <v>907</v>
      </c>
      <c r="C563" s="710">
        <v>15353.36</v>
      </c>
      <c r="D563" s="710">
        <v>977.41</v>
      </c>
      <c r="E563" s="710">
        <v>16330.77</v>
      </c>
      <c r="F563" s="708" t="s">
        <v>2228</v>
      </c>
      <c r="G563" s="708" t="s">
        <v>2288</v>
      </c>
      <c r="H563" s="657" t="s">
        <v>2997</v>
      </c>
      <c r="I563" s="656"/>
      <c r="J563" s="656"/>
      <c r="K563" s="656"/>
      <c r="L563" s="149" t="str">
        <f t="shared" si="40"/>
        <v>20C</v>
      </c>
      <c r="M563" s="150" t="str">
        <f t="shared" si="41"/>
        <v>SAL. PROPRIETAIRE - USAGE BMW</v>
      </c>
      <c r="N563" s="151">
        <f>+IF(OR($Q563=Parametres!$G$2,$Q563=Parametres!$G$3),I563,C563)</f>
        <v>15353.36</v>
      </c>
      <c r="O563" s="151">
        <f>+IF(OR($Q563=Parametres!$G$2,$Q563=Parametres!$G$3),J563,D563)</f>
        <v>977.41</v>
      </c>
      <c r="P563" s="151">
        <f>+IF(OR($Q563=Parametres!$G$2,$Q563=Parametres!$G$3),K563,E563)</f>
        <v>16330.77</v>
      </c>
      <c r="Q563" s="150" t="str">
        <f t="shared" si="42"/>
        <v>7-Dépenses</v>
      </c>
      <c r="R563" s="149" t="str">
        <f t="shared" si="43"/>
        <v>20</v>
      </c>
      <c r="S563" s="150" t="str">
        <f t="shared" si="44"/>
        <v>_</v>
      </c>
      <c r="T563" s="152" t="str">
        <f>+VLOOKUP($L563,Data_Validation!$A:$D,1,0)</f>
        <v>20C</v>
      </c>
      <c r="U563" s="152" t="str">
        <f>+VLOOKUP($L563,Data_Validation!$A:$D,3,0)</f>
        <v>Véhicules usagés</v>
      </c>
      <c r="V563" s="152" t="str">
        <f>+VLOOKUP($L563,Data_Validation!$A:$D,4,0)</f>
        <v>Salaires propriétaire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1729</v>
      </c>
      <c r="B564" s="708" t="s">
        <v>872</v>
      </c>
      <c r="C564" s="709">
        <v>15411.3</v>
      </c>
      <c r="D564" s="709">
        <v>1542.09</v>
      </c>
      <c r="E564" s="709">
        <v>16953.39</v>
      </c>
      <c r="F564" s="708" t="s">
        <v>2228</v>
      </c>
      <c r="G564" s="708" t="s">
        <v>2280</v>
      </c>
      <c r="H564" s="709" t="s">
        <v>2997</v>
      </c>
      <c r="I564" s="710"/>
      <c r="J564" s="710"/>
      <c r="K564" s="710"/>
      <c r="L564" s="149" t="str">
        <f t="shared" si="40"/>
        <v>84E</v>
      </c>
      <c r="M564" s="150" t="str">
        <f t="shared" si="41"/>
        <v>TAXES BATISSE - SERV. BMW</v>
      </c>
      <c r="N564" s="151">
        <f>+IF(OR($Q564=Parametres!$G$2,$Q564=Parametres!$G$3),I564,C564)</f>
        <v>15411.3</v>
      </c>
      <c r="O564" s="498">
        <f>+IF(OR($Q564=Parametres!$G$2,$Q564=Parametres!$G$3),J564,D564)</f>
        <v>1542.09</v>
      </c>
      <c r="P564" s="151">
        <f>+IF(OR($Q564=Parametres!$G$2,$Q564=Parametres!$G$3),K564,E564)</f>
        <v>16953.39</v>
      </c>
      <c r="Q564" s="150" t="str">
        <f t="shared" si="42"/>
        <v>7-Dépenses</v>
      </c>
      <c r="R564" s="149" t="str">
        <f t="shared" si="43"/>
        <v>84</v>
      </c>
      <c r="S564" s="150" t="str">
        <f t="shared" si="44"/>
        <v>_</v>
      </c>
      <c r="T564" s="152" t="str">
        <f>+VLOOKUP($L564,Data_Validation!$A:$D,1,0)</f>
        <v>84E</v>
      </c>
      <c r="U564" s="152" t="str">
        <f>+VLOOKUP($L564,Data_Validation!$A:$D,3,0)</f>
        <v>Service</v>
      </c>
      <c r="V564" s="152" t="str">
        <f>+VLOOKUP($L564,Data_Validation!$A:$D,4,0)</f>
        <v>Taxes foncières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1172</v>
      </c>
      <c r="B565" s="708" t="s">
        <v>868</v>
      </c>
      <c r="C565" s="710">
        <v>15525.56</v>
      </c>
      <c r="D565" s="710">
        <v>1048.1300000000001</v>
      </c>
      <c r="E565" s="710">
        <v>16573.689999999999</v>
      </c>
      <c r="F565" s="708" t="s">
        <v>2228</v>
      </c>
      <c r="G565" s="708" t="s">
        <v>2270</v>
      </c>
      <c r="H565" s="664" t="s">
        <v>2997</v>
      </c>
      <c r="I565" s="663"/>
      <c r="J565" s="663"/>
      <c r="K565" s="663"/>
      <c r="L565" s="149" t="str">
        <f t="shared" si="40"/>
        <v>76E</v>
      </c>
      <c r="M565" s="150" t="str">
        <f t="shared" si="41"/>
        <v>FORMATION - SERV. BMW</v>
      </c>
      <c r="N565" s="151">
        <f>+IF(OR($Q565=Parametres!$G$2,$Q565=Parametres!$G$3),I565,C565)</f>
        <v>15525.56</v>
      </c>
      <c r="O565" s="151">
        <f>+IF(OR($Q565=Parametres!$G$2,$Q565=Parametres!$G$3),J565,D565)</f>
        <v>1048.1300000000001</v>
      </c>
      <c r="P565" s="151">
        <f>+IF(OR($Q565=Parametres!$G$2,$Q565=Parametres!$G$3),K565,E565)</f>
        <v>16573.689999999999</v>
      </c>
      <c r="Q565" s="150" t="str">
        <f t="shared" si="42"/>
        <v>7-Dépenses</v>
      </c>
      <c r="R565" s="149" t="str">
        <f t="shared" si="43"/>
        <v>76</v>
      </c>
      <c r="S565" s="150" t="str">
        <f t="shared" si="44"/>
        <v>_</v>
      </c>
      <c r="T565" s="152" t="str">
        <f>+VLOOKUP($L565,Data_Validation!$A:$D,1,0)</f>
        <v>76E</v>
      </c>
      <c r="U565" s="152" t="str">
        <f>+VLOOKUP($L565,Data_Validation!$A:$D,3,0)</f>
        <v>Service</v>
      </c>
      <c r="V565" s="152" t="str">
        <f>+VLOOKUP($L565,Data_Validation!$A:$D,4,0)</f>
        <v>Formation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1692</v>
      </c>
      <c r="B566" s="708" t="s">
        <v>899</v>
      </c>
      <c r="C566" s="710">
        <v>15621.15</v>
      </c>
      <c r="D566" s="710">
        <v>2504.06</v>
      </c>
      <c r="E566" s="710">
        <v>18125.21</v>
      </c>
      <c r="F566" s="708" t="s">
        <v>2228</v>
      </c>
      <c r="G566" s="708" t="s">
        <v>2282</v>
      </c>
      <c r="H566" s="664" t="s">
        <v>2997</v>
      </c>
      <c r="I566" s="663"/>
      <c r="J566" s="663"/>
      <c r="K566" s="663"/>
      <c r="L566" s="149" t="str">
        <f t="shared" si="40"/>
        <v>73E</v>
      </c>
      <c r="M566" s="150" t="str">
        <f t="shared" si="41"/>
        <v>REMISE CARTE CREDIT - SERV. BMW</v>
      </c>
      <c r="N566" s="151">
        <f>+IF(OR($Q566=Parametres!$G$2,$Q566=Parametres!$G$3),I566,C566)</f>
        <v>15621.15</v>
      </c>
      <c r="O566" s="151">
        <f>+IF(OR($Q566=Parametres!$G$2,$Q566=Parametres!$G$3),J566,D566)</f>
        <v>2504.06</v>
      </c>
      <c r="P566" s="151">
        <f>+IF(OR($Q566=Parametres!$G$2,$Q566=Parametres!$G$3),K566,E566)</f>
        <v>18125.21</v>
      </c>
      <c r="Q566" s="150" t="str">
        <f t="shared" si="42"/>
        <v>7-Dépenses</v>
      </c>
      <c r="R566" s="149" t="str">
        <f t="shared" si="43"/>
        <v>73</v>
      </c>
      <c r="S566" s="150" t="str">
        <f t="shared" si="44"/>
        <v>_</v>
      </c>
      <c r="T566" s="152" t="str">
        <f>+VLOOKUP($L566,Data_Validation!$A:$D,1,0)</f>
        <v>73E</v>
      </c>
      <c r="U566" s="152" t="str">
        <f>+VLOOKUP($L566,Data_Validation!$A:$D,3,0)</f>
        <v>Service</v>
      </c>
      <c r="V566" s="152" t="str">
        <f>+VLOOKUP($L566,Data_Validation!$A:$D,4,0)</f>
        <v>frais bancaires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1726</v>
      </c>
      <c r="B567" s="708" t="s">
        <v>888</v>
      </c>
      <c r="C567" s="710">
        <v>15768.3</v>
      </c>
      <c r="D567" s="710">
        <v>1576.83</v>
      </c>
      <c r="E567" s="710">
        <v>17345.13</v>
      </c>
      <c r="F567" s="708" t="s">
        <v>2228</v>
      </c>
      <c r="G567" s="708" t="s">
        <v>2283</v>
      </c>
      <c r="H567" s="664" t="s">
        <v>2997</v>
      </c>
      <c r="I567" s="663"/>
      <c r="J567" s="663"/>
      <c r="K567" s="663"/>
      <c r="L567" s="149" t="str">
        <f t="shared" si="40"/>
        <v>74E</v>
      </c>
      <c r="M567" s="150" t="str">
        <f t="shared" si="41"/>
        <v>FRAIS LEGAUX &amp; CTB - SERV. BMW</v>
      </c>
      <c r="N567" s="151">
        <f>+IF(OR($Q567=Parametres!$G$2,$Q567=Parametres!$G$3),I567,C567)</f>
        <v>15768.3</v>
      </c>
      <c r="O567" s="151">
        <f>+IF(OR($Q567=Parametres!$G$2,$Q567=Parametres!$G$3),J567,D567)</f>
        <v>1576.83</v>
      </c>
      <c r="P567" s="151">
        <f>+IF(OR($Q567=Parametres!$G$2,$Q567=Parametres!$G$3),K567,E567)</f>
        <v>17345.13</v>
      </c>
      <c r="Q567" s="150" t="str">
        <f t="shared" si="42"/>
        <v>7-Dépenses</v>
      </c>
      <c r="R567" s="149" t="str">
        <f t="shared" si="43"/>
        <v>74</v>
      </c>
      <c r="S567" s="150" t="str">
        <f t="shared" si="44"/>
        <v>_</v>
      </c>
      <c r="T567" s="152" t="str">
        <f>+VLOOKUP($L567,Data_Validation!$A:$D,1,0)</f>
        <v>74E</v>
      </c>
      <c r="U567" s="152" t="str">
        <f>+VLOOKUP($L567,Data_Validation!$A:$D,3,0)</f>
        <v>Service</v>
      </c>
      <c r="V567" s="152" t="str">
        <f>+VLOOKUP($L567,Data_Validation!$A:$D,4,0)</f>
        <v>honoraires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1175</v>
      </c>
      <c r="B568" s="708" t="s">
        <v>894</v>
      </c>
      <c r="C568" s="710">
        <v>18585</v>
      </c>
      <c r="D568" s="710">
        <v>1877.52</v>
      </c>
      <c r="E568" s="710">
        <v>20462.52</v>
      </c>
      <c r="F568" s="708" t="s">
        <v>2228</v>
      </c>
      <c r="G568" s="708" t="s">
        <v>2277</v>
      </c>
      <c r="H568" s="600" t="s">
        <v>2997</v>
      </c>
      <c r="I568" s="153"/>
      <c r="J568" s="153"/>
      <c r="K568" s="153"/>
      <c r="L568" s="149" t="str">
        <f t="shared" si="40"/>
        <v>91A</v>
      </c>
      <c r="M568" s="150" t="str">
        <f t="shared" si="41"/>
        <v>DEPREC. EQUIP. - NEUF BMW</v>
      </c>
      <c r="N568" s="151">
        <f>+IF(OR($Q568=Parametres!$G$2,$Q568=Parametres!$G$3),I568,C568)</f>
        <v>18585</v>
      </c>
      <c r="O568" s="151">
        <f>+IF(OR($Q568=Parametres!$G$2,$Q568=Parametres!$G$3),J568,D568)</f>
        <v>1877.52</v>
      </c>
      <c r="P568" s="151">
        <f>+IF(OR($Q568=Parametres!$G$2,$Q568=Parametres!$G$3),K568,E568)</f>
        <v>20462.52</v>
      </c>
      <c r="Q568" s="150" t="str">
        <f t="shared" si="42"/>
        <v>7-Dépenses</v>
      </c>
      <c r="R568" s="149" t="str">
        <f t="shared" si="43"/>
        <v>91</v>
      </c>
      <c r="S568" s="150" t="str">
        <f t="shared" si="44"/>
        <v>_</v>
      </c>
      <c r="T568" s="152" t="str">
        <f>+VLOOKUP($L568,Data_Validation!$A:$D,1,0)</f>
        <v>91A</v>
      </c>
      <c r="U568" s="152" t="str">
        <f>+VLOOKUP($L568,Data_Validation!$A:$D,3,0)</f>
        <v>Véhicules neufs</v>
      </c>
      <c r="V568" s="152" t="str">
        <f>+VLOOKUP($L568,Data_Validation!$A:$D,4,0)</f>
        <v>amortissement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389</v>
      </c>
      <c r="B569" s="708" t="s">
        <v>890</v>
      </c>
      <c r="C569" s="710">
        <v>18788.599999999999</v>
      </c>
      <c r="D569" s="710">
        <v>2364.94</v>
      </c>
      <c r="E569" s="710">
        <v>21153.54</v>
      </c>
      <c r="F569" s="708" t="s">
        <v>2228</v>
      </c>
      <c r="G569" s="708" t="s">
        <v>2293</v>
      </c>
      <c r="H569" s="600" t="s">
        <v>2997</v>
      </c>
      <c r="I569" s="153"/>
      <c r="J569" s="153"/>
      <c r="K569" s="153"/>
      <c r="L569" s="149" t="str">
        <f t="shared" si="40"/>
        <v>14A</v>
      </c>
      <c r="M569" s="150" t="str">
        <f t="shared" si="41"/>
        <v>ENTRETIEN INVENTAIRE NEUF</v>
      </c>
      <c r="N569" s="151">
        <f>+IF(OR($Q569=Parametres!$G$2,$Q569=Parametres!$G$3),I569,C569)</f>
        <v>18788.599999999999</v>
      </c>
      <c r="O569" s="151">
        <f>+IF(OR($Q569=Parametres!$G$2,$Q569=Parametres!$G$3),J569,D569)</f>
        <v>2364.94</v>
      </c>
      <c r="P569" s="151">
        <f>+IF(OR($Q569=Parametres!$G$2,$Q569=Parametres!$G$3),K569,E569)</f>
        <v>21153.54</v>
      </c>
      <c r="Q569" s="150" t="str">
        <f t="shared" si="42"/>
        <v>7-Dépenses</v>
      </c>
      <c r="R569" s="149" t="str">
        <f t="shared" si="43"/>
        <v>14</v>
      </c>
      <c r="S569" s="150" t="str">
        <f t="shared" si="44"/>
        <v>_</v>
      </c>
      <c r="T569" s="152" t="str">
        <f>+VLOOKUP($L569,Data_Validation!$A:$D,1,0)</f>
        <v>14A</v>
      </c>
      <c r="U569" s="152" t="str">
        <f>+VLOOKUP($L569,Data_Validation!$A:$D,3,0)</f>
        <v>Véhicules neufs</v>
      </c>
      <c r="V569" s="152" t="str">
        <f>+VLOOKUP($L569,Data_Validation!$A:$D,4,0)</f>
        <v>Entretien stock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1113</v>
      </c>
      <c r="B570" s="708" t="s">
        <v>929</v>
      </c>
      <c r="C570" s="710">
        <v>19046.099999999999</v>
      </c>
      <c r="D570" s="710">
        <v>1528.27</v>
      </c>
      <c r="E570" s="710">
        <v>20574.37</v>
      </c>
      <c r="F570" s="708" t="s">
        <v>2228</v>
      </c>
      <c r="G570" s="708" t="s">
        <v>2257</v>
      </c>
      <c r="H570" s="664" t="s">
        <v>2997</v>
      </c>
      <c r="I570" s="663"/>
      <c r="J570" s="663"/>
      <c r="K570" s="663"/>
      <c r="L570" s="149" t="str">
        <f t="shared" si="40"/>
        <v>68E</v>
      </c>
      <c r="M570" s="501" t="str">
        <f t="shared" si="41"/>
        <v>TRAV. GRACIEUX - SERV. BMW</v>
      </c>
      <c r="N570" s="151">
        <f>+IF(OR($Q570=Parametres!$G$2,$Q570=Parametres!$G$3),I570,C570)</f>
        <v>19046.099999999999</v>
      </c>
      <c r="O570" s="502">
        <f>+IF(OR($Q570=Parametres!$G$2,$Q570=Parametres!$G$3),J570,D570)</f>
        <v>1528.27</v>
      </c>
      <c r="P570" s="503">
        <f>+IF(OR($Q570=Parametres!$G$2,$Q570=Parametres!$G$3),K570,E570)</f>
        <v>20574.37</v>
      </c>
      <c r="Q570" s="150" t="str">
        <f t="shared" si="42"/>
        <v>7-Dépenses</v>
      </c>
      <c r="R570" s="149" t="str">
        <f t="shared" si="43"/>
        <v>68</v>
      </c>
      <c r="S570" s="150" t="str">
        <f t="shared" si="44"/>
        <v>_</v>
      </c>
      <c r="T570" s="152" t="str">
        <f>+VLOOKUP($L570,Data_Validation!$A:$D,1,0)</f>
        <v>68E</v>
      </c>
      <c r="U570" s="152" t="str">
        <f>+VLOOKUP($L570,Data_Validation!$A:$D,3,0)</f>
        <v>Service</v>
      </c>
      <c r="V570" s="152" t="str">
        <f>+VLOOKUP($L570,Data_Validation!$A:$D,4,0)</f>
        <v>service gratuit 2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1669</v>
      </c>
      <c r="B571" s="708" t="s">
        <v>884</v>
      </c>
      <c r="C571" s="710">
        <v>19216.169999999998</v>
      </c>
      <c r="D571" s="710">
        <v>1786.18</v>
      </c>
      <c r="E571" s="710">
        <v>21002.35</v>
      </c>
      <c r="F571" s="708" t="s">
        <v>2228</v>
      </c>
      <c r="G571" s="708" t="s">
        <v>2284</v>
      </c>
      <c r="H571" s="664" t="s">
        <v>2997</v>
      </c>
      <c r="I571" s="664"/>
      <c r="J571" s="664"/>
      <c r="K571" s="664"/>
      <c r="L571" s="149" t="str">
        <f t="shared" si="40"/>
        <v>69G</v>
      </c>
      <c r="M571" s="150" t="str">
        <f t="shared" si="41"/>
        <v>FRAIS INFORMATIQUE - PIECE BMW</v>
      </c>
      <c r="N571" s="151">
        <f>+IF(OR($Q571=Parametres!$G$2,$Q571=Parametres!$G$3),I571,C571)</f>
        <v>19216.169999999998</v>
      </c>
      <c r="O571" s="497">
        <f>+IF(OR($Q571=Parametres!$G$2,$Q571=Parametres!$G$3),J571,D571)</f>
        <v>1786.18</v>
      </c>
      <c r="P571" s="151">
        <f>+IF(OR($Q571=Parametres!$G$2,$Q571=Parametres!$G$3),K571,E571)</f>
        <v>21002.35</v>
      </c>
      <c r="Q571" s="150" t="str">
        <f t="shared" si="42"/>
        <v>7-Dépenses</v>
      </c>
      <c r="R571" s="149" t="str">
        <f t="shared" si="43"/>
        <v>69</v>
      </c>
      <c r="S571" s="150" t="str">
        <f t="shared" si="44"/>
        <v>_</v>
      </c>
      <c r="T571" s="152" t="str">
        <f>+VLOOKUP($L571,Data_Validation!$A:$D,1,0)</f>
        <v>69G</v>
      </c>
      <c r="U571" s="152" t="str">
        <f>+VLOOKUP($L571,Data_Validation!$A:$D,3,0)</f>
        <v>pièces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1693</v>
      </c>
      <c r="B572" s="708" t="s">
        <v>895</v>
      </c>
      <c r="C572" s="710">
        <v>19896.939999999999</v>
      </c>
      <c r="D572" s="710">
        <v>2055.85</v>
      </c>
      <c r="E572" s="710">
        <v>21952.79</v>
      </c>
      <c r="F572" s="708" t="s">
        <v>2228</v>
      </c>
      <c r="G572" s="708" t="s">
        <v>2278</v>
      </c>
      <c r="H572" s="664" t="s">
        <v>2997</v>
      </c>
      <c r="I572" s="663"/>
      <c r="J572" s="663"/>
      <c r="K572" s="663"/>
      <c r="L572" s="149" t="str">
        <f t="shared" si="40"/>
        <v>53E</v>
      </c>
      <c r="M572" s="150" t="str">
        <f t="shared" si="41"/>
        <v>VEH. COMPAGNIE - SERV. BMW</v>
      </c>
      <c r="N572" s="151">
        <f>+IF(OR($Q572=Parametres!$G$2,$Q572=Parametres!$G$3),I572,C572)</f>
        <v>19896.939999999999</v>
      </c>
      <c r="O572" s="151">
        <f>+IF(OR($Q572=Parametres!$G$2,$Q572=Parametres!$G$3),J572,D572)</f>
        <v>2055.85</v>
      </c>
      <c r="P572" s="151">
        <f>+IF(OR($Q572=Parametres!$G$2,$Q572=Parametres!$G$3),K572,E572)</f>
        <v>21952.79</v>
      </c>
      <c r="Q572" s="150" t="str">
        <f t="shared" si="42"/>
        <v>7-Dépenses</v>
      </c>
      <c r="R572" s="149" t="str">
        <f t="shared" si="43"/>
        <v>53</v>
      </c>
      <c r="S572" s="150" t="str">
        <f t="shared" si="44"/>
        <v>_</v>
      </c>
      <c r="T572" s="152" t="str">
        <f>+VLOOKUP($L572,Data_Validation!$A:$D,1,0)</f>
        <v>53E</v>
      </c>
      <c r="U572" s="152" t="str">
        <f>+VLOOKUP($L572,Data_Validation!$A:$D,3,0)</f>
        <v>Service</v>
      </c>
      <c r="V572" s="152" t="str">
        <f>+VLOOKUP($L572,Data_Validation!$A:$D,4,0)</f>
        <v>Frais véhicules de cie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1731</v>
      </c>
      <c r="B573" s="708" t="s">
        <v>1732</v>
      </c>
      <c r="C573" s="710">
        <v>20520</v>
      </c>
      <c r="D573" s="710">
        <v>2017.73</v>
      </c>
      <c r="E573" s="710">
        <v>22537.73</v>
      </c>
      <c r="F573" s="708" t="s">
        <v>2228</v>
      </c>
      <c r="G573" s="708" t="s">
        <v>2285</v>
      </c>
      <c r="H573" s="664" t="s">
        <v>2997</v>
      </c>
      <c r="I573" s="663"/>
      <c r="J573" s="663"/>
      <c r="K573" s="663"/>
      <c r="L573" s="149" t="str">
        <f t="shared" si="40"/>
        <v>81G</v>
      </c>
      <c r="M573" s="150" t="str">
        <f t="shared" si="41"/>
        <v>AMORT. AMEL. LOC. - PIECE BMW</v>
      </c>
      <c r="N573" s="151">
        <f>+IF(OR($Q573=Parametres!$G$2,$Q573=Parametres!$G$3),I573,C573)</f>
        <v>20520</v>
      </c>
      <c r="O573" s="499">
        <f>+IF(OR($Q573=Parametres!$G$2,$Q573=Parametres!$G$3),J573,D573)</f>
        <v>2017.73</v>
      </c>
      <c r="P573" s="151">
        <f>+IF(OR($Q573=Parametres!$G$2,$Q573=Parametres!$G$3),K573,E573)</f>
        <v>22537.73</v>
      </c>
      <c r="Q573" s="150" t="str">
        <f t="shared" si="42"/>
        <v>7-Dépenses</v>
      </c>
      <c r="R573" s="149" t="str">
        <f t="shared" si="43"/>
        <v>81</v>
      </c>
      <c r="S573" s="150" t="str">
        <f t="shared" si="44"/>
        <v>_</v>
      </c>
      <c r="T573" s="152" t="str">
        <f>+VLOOKUP($L573,Data_Validation!$A:$D,1,0)</f>
        <v>81G</v>
      </c>
      <c r="U573" s="152" t="str">
        <f>+VLOOKUP($L573,Data_Validation!$A:$D,3,0)</f>
        <v>pièces</v>
      </c>
      <c r="V573" s="152" t="str">
        <f>+VLOOKUP($L573,Data_Validation!$A:$D,4,0)</f>
        <v>Amortissement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1749</v>
      </c>
      <c r="B574" s="708" t="s">
        <v>904</v>
      </c>
      <c r="C574" s="710">
        <v>20976.09</v>
      </c>
      <c r="D574" s="710">
        <v>2326.9699999999998</v>
      </c>
      <c r="E574" s="710">
        <v>23303.06</v>
      </c>
      <c r="F574" s="708" t="s">
        <v>2228</v>
      </c>
      <c r="G574" s="708" t="s">
        <v>2273</v>
      </c>
      <c r="H574" s="664" t="s">
        <v>2997</v>
      </c>
      <c r="I574" s="663"/>
      <c r="J574" s="663"/>
      <c r="K574" s="663"/>
      <c r="L574" s="149" t="str">
        <f t="shared" si="40"/>
        <v>27G</v>
      </c>
      <c r="M574" s="150" t="str">
        <f t="shared" si="41"/>
        <v>AVANT. SOCIAUX - PIECE BMW</v>
      </c>
      <c r="N574" s="151">
        <f>+IF(OR($Q574=Parametres!$G$2,$Q574=Parametres!$G$3),I574,C574)</f>
        <v>20976.09</v>
      </c>
      <c r="O574" s="151">
        <f>+IF(OR($Q574=Parametres!$G$2,$Q574=Parametres!$G$3),J574,D574)</f>
        <v>2326.9699999999998</v>
      </c>
      <c r="P574" s="151">
        <f>+IF(OR($Q574=Parametres!$G$2,$Q574=Parametres!$G$3),K574,E574)</f>
        <v>23303.06</v>
      </c>
      <c r="Q574" s="150" t="str">
        <f t="shared" si="42"/>
        <v>7-Dépenses</v>
      </c>
      <c r="R574" s="149" t="str">
        <f t="shared" si="43"/>
        <v>27</v>
      </c>
      <c r="S574" s="150" t="str">
        <f t="shared" si="44"/>
        <v>_</v>
      </c>
      <c r="T574" s="152" t="str">
        <f>+VLOOKUP($L574,Data_Validation!$A:$D,1,0)</f>
        <v>27G</v>
      </c>
      <c r="U574" s="152" t="str">
        <f>+VLOOKUP($L574,Data_Validation!$A:$D,3,0)</f>
        <v>Pièces</v>
      </c>
      <c r="V574" s="152" t="str">
        <f>+VLOOKUP($L574,Data_Validation!$A:$D,4,0)</f>
        <v>Bénéfices marginaux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1717</v>
      </c>
      <c r="B575" s="708" t="s">
        <v>879</v>
      </c>
      <c r="C575" s="710">
        <v>21842.2</v>
      </c>
      <c r="D575" s="710">
        <v>2184.2199999999998</v>
      </c>
      <c r="E575" s="710">
        <v>24026.42</v>
      </c>
      <c r="F575" s="708" t="s">
        <v>2228</v>
      </c>
      <c r="G575" s="708" t="s">
        <v>2275</v>
      </c>
      <c r="H575" s="664" t="s">
        <v>2997</v>
      </c>
      <c r="I575" s="663"/>
      <c r="J575" s="663"/>
      <c r="K575" s="663"/>
      <c r="L575" s="149" t="str">
        <f t="shared" si="40"/>
        <v>85A</v>
      </c>
      <c r="M575" s="150" t="str">
        <f t="shared" si="41"/>
        <v>ASS. BATISSE - NEUF BMW</v>
      </c>
      <c r="N575" s="151">
        <f>+IF(OR($Q575=Parametres!$G$2,$Q575=Parametres!$G$3),I575,C575)</f>
        <v>21842.2</v>
      </c>
      <c r="O575" s="151">
        <f>+IF(OR($Q575=Parametres!$G$2,$Q575=Parametres!$G$3),J575,D575)</f>
        <v>2184.2199999999998</v>
      </c>
      <c r="P575" s="151">
        <f>+IF(OR($Q575=Parametres!$G$2,$Q575=Parametres!$G$3),K575,E575)</f>
        <v>24026.42</v>
      </c>
      <c r="Q575" s="150" t="str">
        <f t="shared" si="42"/>
        <v>7-Dépenses</v>
      </c>
      <c r="R575" s="149" t="str">
        <f t="shared" si="43"/>
        <v>85</v>
      </c>
      <c r="S575" s="150" t="str">
        <f t="shared" si="44"/>
        <v>_</v>
      </c>
      <c r="T575" s="152" t="str">
        <f>+VLOOKUP($L575,Data_Validation!$A:$D,1,0)</f>
        <v>85A</v>
      </c>
      <c r="U575" s="152" t="str">
        <f>+VLOOKUP($L575,Data_Validation!$A:$D,3,0)</f>
        <v>Véhicules neufs</v>
      </c>
      <c r="V575" s="152" t="str">
        <f>+VLOOKUP($L575,Data_Validation!$A:$D,4,0)</f>
        <v>assurances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1744</v>
      </c>
      <c r="B576" s="708" t="s">
        <v>838</v>
      </c>
      <c r="C576" s="710">
        <v>21850.92</v>
      </c>
      <c r="D576" s="710">
        <v>1941.18</v>
      </c>
      <c r="E576" s="710">
        <v>23792.1</v>
      </c>
      <c r="F576" s="708" t="s">
        <v>2228</v>
      </c>
      <c r="G576" s="708" t="s">
        <v>2264</v>
      </c>
      <c r="H576" s="602" t="s">
        <v>2997</v>
      </c>
      <c r="I576" s="601"/>
      <c r="J576" s="601"/>
      <c r="K576" s="601"/>
      <c r="L576" s="149" t="str">
        <f t="shared" si="40"/>
        <v>29E</v>
      </c>
      <c r="M576" s="150" t="str">
        <f t="shared" si="41"/>
        <v>FONDS PENSIONS - SERV. BMW</v>
      </c>
      <c r="N576" s="151">
        <f>+IF(OR($Q576=Parametres!$G$2,$Q576=Parametres!$G$3),I576,C576)</f>
        <v>21850.92</v>
      </c>
      <c r="O576" s="497">
        <f>+IF(OR($Q576=Parametres!$G$2,$Q576=Parametres!$G$3),J576,D576)</f>
        <v>1941.18</v>
      </c>
      <c r="P576" s="151">
        <f>+IF(OR($Q576=Parametres!$G$2,$Q576=Parametres!$G$3),K576,E576)</f>
        <v>23792.1</v>
      </c>
      <c r="Q576" s="150" t="str">
        <f t="shared" si="42"/>
        <v>7-Dépenses</v>
      </c>
      <c r="R576" s="149" t="str">
        <f t="shared" si="43"/>
        <v>29</v>
      </c>
      <c r="S576" s="150" t="str">
        <f t="shared" si="44"/>
        <v>_</v>
      </c>
      <c r="T576" s="152" t="str">
        <f>+VLOOKUP($L576,Data_Validation!$A:$D,1,0)</f>
        <v>29E</v>
      </c>
      <c r="U576" s="152" t="str">
        <f>+VLOOKUP($L576,Data_Validation!$A:$D,3,0)</f>
        <v>Service</v>
      </c>
      <c r="V576" s="152" t="str">
        <f>+VLOOKUP($L576,Data_Validation!$A:$D,4,0)</f>
        <v>csst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1712</v>
      </c>
      <c r="B577" s="708" t="s">
        <v>852</v>
      </c>
      <c r="C577" s="709">
        <v>22264.06</v>
      </c>
      <c r="D577" s="709">
        <v>1671.57</v>
      </c>
      <c r="E577" s="709">
        <v>23935.63</v>
      </c>
      <c r="F577" s="708" t="s">
        <v>2228</v>
      </c>
      <c r="G577" s="708" t="s">
        <v>2273</v>
      </c>
      <c r="H577" s="709" t="s">
        <v>2997</v>
      </c>
      <c r="I577" s="710"/>
      <c r="J577" s="710"/>
      <c r="K577" s="710"/>
      <c r="L577" s="149" t="str">
        <f t="shared" si="40"/>
        <v>27C</v>
      </c>
      <c r="M577" s="150" t="str">
        <f t="shared" si="41"/>
        <v>AVANT. SOCIAUX - USAGE BMW</v>
      </c>
      <c r="N577" s="151">
        <f>+IF(OR($Q577=Parametres!$G$2,$Q577=Parametres!$G$3),I577,C577)</f>
        <v>22264.06</v>
      </c>
      <c r="O577" s="151">
        <f>+IF(OR($Q577=Parametres!$G$2,$Q577=Parametres!$G$3),J577,D577)</f>
        <v>1671.57</v>
      </c>
      <c r="P577" s="151">
        <f>+IF(OR($Q577=Parametres!$G$2,$Q577=Parametres!$G$3),K577,E577)</f>
        <v>23935.63</v>
      </c>
      <c r="Q577" s="150" t="str">
        <f t="shared" si="42"/>
        <v>7-Dépenses</v>
      </c>
      <c r="R577" s="149" t="str">
        <f t="shared" si="43"/>
        <v>27</v>
      </c>
      <c r="S577" s="150" t="str">
        <f t="shared" si="44"/>
        <v>_</v>
      </c>
      <c r="T577" s="152" t="str">
        <f>+VLOOKUP($L577,Data_Validation!$A:$D,1,0)</f>
        <v>27C</v>
      </c>
      <c r="U577" s="152" t="str">
        <f>+VLOOKUP($L577,Data_Validation!$A:$D,3,0)</f>
        <v>Véhicules usagés</v>
      </c>
      <c r="V577" s="152" t="str">
        <f>+VLOOKUP($L577,Data_Validation!$A:$D,4,0)</f>
        <v>Bénéfices marginaux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1799</v>
      </c>
      <c r="B578" s="708" t="s">
        <v>933</v>
      </c>
      <c r="C578" s="710">
        <v>24668.3</v>
      </c>
      <c r="D578" s="710">
        <v>2475.0100000000002</v>
      </c>
      <c r="E578" s="710">
        <v>27143.31</v>
      </c>
      <c r="F578" s="708" t="s">
        <v>2228</v>
      </c>
      <c r="G578" s="708" t="s">
        <v>2281</v>
      </c>
      <c r="H578" s="664" t="s">
        <v>2997</v>
      </c>
      <c r="I578" s="664"/>
      <c r="J578" s="664"/>
      <c r="K578" s="664"/>
      <c r="L578" s="149" t="str">
        <f t="shared" ref="L578:L641" si="45">+B578</f>
        <v>70E</v>
      </c>
      <c r="M578" s="150" t="str">
        <f t="shared" ref="M578:M641" si="46">+A578</f>
        <v>SERV. EXTERIEURS - SERV. BMW</v>
      </c>
      <c r="N578" s="151">
        <f>+IF(OR($Q578=Parametres!$G$2,$Q578=Parametres!$G$3),I578,C578)</f>
        <v>24668.3</v>
      </c>
      <c r="O578" s="151">
        <f>+IF(OR($Q578=Parametres!$G$2,$Q578=Parametres!$G$3),J578,D578)</f>
        <v>2475.0100000000002</v>
      </c>
      <c r="P578" s="151">
        <f>+IF(OR($Q578=Parametres!$G$2,$Q578=Parametres!$G$3),K578,E578)</f>
        <v>27143.31</v>
      </c>
      <c r="Q578" s="150" t="str">
        <f t="shared" ref="Q578:Q641" si="47">+F578</f>
        <v>7-Dépenses</v>
      </c>
      <c r="R578" s="149" t="str">
        <f t="shared" ref="R578:R641" si="48">+G578</f>
        <v>70</v>
      </c>
      <c r="S578" s="150" t="str">
        <f t="shared" ref="S578:S641" si="49">+H578</f>
        <v>_</v>
      </c>
      <c r="T578" s="152" t="str">
        <f>+VLOOKUP($L578,Data_Validation!$A:$D,1,0)</f>
        <v>70E</v>
      </c>
      <c r="U578" s="152" t="str">
        <f>+VLOOKUP($L578,Data_Validation!$A:$D,3,0)</f>
        <v>Service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1229</v>
      </c>
      <c r="B579" s="708" t="s">
        <v>878</v>
      </c>
      <c r="C579" s="710">
        <v>24898.55</v>
      </c>
      <c r="D579" s="710">
        <v>3269.92</v>
      </c>
      <c r="E579" s="710">
        <v>28168.47</v>
      </c>
      <c r="F579" s="708" t="s">
        <v>2228</v>
      </c>
      <c r="G579" s="708" t="s">
        <v>2274</v>
      </c>
      <c r="H579" s="664" t="s">
        <v>2997</v>
      </c>
      <c r="I579" s="663"/>
      <c r="J579" s="663"/>
      <c r="K579" s="663"/>
      <c r="L579" s="149" t="str">
        <f t="shared" si="45"/>
        <v>87A</v>
      </c>
      <c r="M579" s="150" t="str">
        <f t="shared" si="46"/>
        <v>CHAUFF. ELECT. EAU - NEUF BMW</v>
      </c>
      <c r="N579" s="151">
        <f>+IF(OR($Q579=Parametres!$G$2,$Q579=Parametres!$G$3),I579,C579)</f>
        <v>24898.55</v>
      </c>
      <c r="O579" s="151">
        <f>+IF(OR($Q579=Parametres!$G$2,$Q579=Parametres!$G$3),J579,D579)</f>
        <v>3269.92</v>
      </c>
      <c r="P579" s="151">
        <f>+IF(OR($Q579=Parametres!$G$2,$Q579=Parametres!$G$3),K579,E579)</f>
        <v>28168.47</v>
      </c>
      <c r="Q579" s="150" t="str">
        <f t="shared" si="47"/>
        <v>7-Dépenses</v>
      </c>
      <c r="R579" s="149" t="str">
        <f t="shared" si="48"/>
        <v>87</v>
      </c>
      <c r="S579" s="150" t="str">
        <f t="shared" si="49"/>
        <v>_</v>
      </c>
      <c r="T579" s="152" t="str">
        <f>+VLOOKUP($L579,Data_Validation!$A:$D,1,0)</f>
        <v>87A</v>
      </c>
      <c r="U579" s="152" t="str">
        <f>+VLOOKUP($L579,Data_Validation!$A:$D,3,0)</f>
        <v>Véhicules neufs</v>
      </c>
      <c r="V579" s="152" t="str">
        <f>+VLOOKUP($L579,Data_Validation!$A:$D,4,0)</f>
        <v>Chauffage, éclairage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1736</v>
      </c>
      <c r="B580" s="708" t="s">
        <v>1737</v>
      </c>
      <c r="C580" s="710">
        <v>25650</v>
      </c>
      <c r="D580" s="710">
        <v>2522.15</v>
      </c>
      <c r="E580" s="710">
        <v>28172.15</v>
      </c>
      <c r="F580" s="708" t="s">
        <v>2228</v>
      </c>
      <c r="G580" s="708" t="s">
        <v>2285</v>
      </c>
      <c r="H580" s="664" t="s">
        <v>2997</v>
      </c>
      <c r="I580" s="663"/>
      <c r="J580" s="663"/>
      <c r="K580" s="663"/>
      <c r="L580" s="149" t="str">
        <f t="shared" si="45"/>
        <v>81E</v>
      </c>
      <c r="M580" s="150" t="str">
        <f t="shared" si="46"/>
        <v>AMORT. AMEL. LOC. - SERV. BMW</v>
      </c>
      <c r="N580" s="151">
        <f>+IF(OR($Q580=Parametres!$G$2,$Q580=Parametres!$G$3),I580,C580)</f>
        <v>25650</v>
      </c>
      <c r="O580" s="151">
        <f>+IF(OR($Q580=Parametres!$G$2,$Q580=Parametres!$G$3),J580,D580)</f>
        <v>2522.15</v>
      </c>
      <c r="P580" s="151">
        <f>+IF(OR($Q580=Parametres!$G$2,$Q580=Parametres!$G$3),K580,E580)</f>
        <v>28172.15</v>
      </c>
      <c r="Q580" s="150" t="str">
        <f t="shared" si="47"/>
        <v>7-Dépenses</v>
      </c>
      <c r="R580" s="149" t="str">
        <f t="shared" si="48"/>
        <v>81</v>
      </c>
      <c r="S580" s="150" t="str">
        <f t="shared" si="49"/>
        <v>_</v>
      </c>
      <c r="T580" s="152" t="str">
        <f>+VLOOKUP($L580,Data_Validation!$A:$D,1,0)</f>
        <v>81E</v>
      </c>
      <c r="U580" s="152" t="str">
        <f>+VLOOKUP($L580,Data_Validation!$A:$D,3,0)</f>
        <v>Service</v>
      </c>
      <c r="V580" s="152" t="str">
        <f>+VLOOKUP($L580,Data_Validation!$A:$D,4,0)</f>
        <v>Amortissement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1741</v>
      </c>
      <c r="B581" s="708" t="s">
        <v>875</v>
      </c>
      <c r="C581" s="709">
        <v>27003.19</v>
      </c>
      <c r="D581" s="709">
        <v>1859.61</v>
      </c>
      <c r="E581" s="709">
        <v>28862.799999999999</v>
      </c>
      <c r="F581" s="708" t="s">
        <v>2228</v>
      </c>
      <c r="G581" s="708" t="s">
        <v>2291</v>
      </c>
      <c r="H581" s="709" t="s">
        <v>2997</v>
      </c>
      <c r="I581" s="710"/>
      <c r="J581" s="710"/>
      <c r="K581" s="710"/>
      <c r="L581" s="149" t="str">
        <f t="shared" si="45"/>
        <v>13A</v>
      </c>
      <c r="M581" s="150" t="str">
        <f t="shared" si="46"/>
        <v>FRAIS LIVRAISON - NEUF BMW</v>
      </c>
      <c r="N581" s="151">
        <f>+IF(OR($Q581=Parametres!$G$2,$Q581=Parametres!$G$3),I581,C581)</f>
        <v>27003.19</v>
      </c>
      <c r="O581" s="151">
        <f>+IF(OR($Q581=Parametres!$G$2,$Q581=Parametres!$G$3),J581,D581)</f>
        <v>1859.61</v>
      </c>
      <c r="P581" s="151">
        <f>+IF(OR($Q581=Parametres!$G$2,$Q581=Parametres!$G$3),K581,E581)</f>
        <v>28862.799999999999</v>
      </c>
      <c r="Q581" s="150" t="str">
        <f t="shared" si="47"/>
        <v>7-Dépenses</v>
      </c>
      <c r="R581" s="149" t="str">
        <f t="shared" si="48"/>
        <v>13</v>
      </c>
      <c r="S581" s="150" t="str">
        <f t="shared" si="49"/>
        <v>_</v>
      </c>
      <c r="T581" s="152" t="str">
        <f>+VLOOKUP($L581,Data_Validation!$A:$D,1,0)</f>
        <v>13A</v>
      </c>
      <c r="U581" s="152" t="str">
        <f>+VLOOKUP($L581,Data_Validation!$A:$D,3,0)</f>
        <v>Véhicules neufs</v>
      </c>
      <c r="V581" s="152" t="str">
        <f>+VLOOKUP($L581,Data_Validation!$A:$D,4,0)</f>
        <v>Frais de livraison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390</v>
      </c>
      <c r="B582" s="708" t="s">
        <v>925</v>
      </c>
      <c r="C582" s="709">
        <v>27503.599999999999</v>
      </c>
      <c r="D582" s="709">
        <v>2427.9299999999998</v>
      </c>
      <c r="E582" s="709">
        <v>29931.53</v>
      </c>
      <c r="F582" s="708" t="s">
        <v>2228</v>
      </c>
      <c r="G582" s="708" t="s">
        <v>2293</v>
      </c>
      <c r="H582" s="709" t="s">
        <v>2997</v>
      </c>
      <c r="I582" s="710"/>
      <c r="J582" s="710"/>
      <c r="K582" s="710"/>
      <c r="L582" s="149" t="str">
        <f t="shared" si="45"/>
        <v>14C</v>
      </c>
      <c r="M582" s="150" t="str">
        <f t="shared" si="46"/>
        <v>ENTRETIEN INVENTAIRE USAGE</v>
      </c>
      <c r="N582" s="151">
        <f>+IF(OR($Q582=Parametres!$G$2,$Q582=Parametres!$G$3),I582,C582)</f>
        <v>27503.599999999999</v>
      </c>
      <c r="O582" s="151">
        <f>+IF(OR($Q582=Parametres!$G$2,$Q582=Parametres!$G$3),J582,D582)</f>
        <v>2427.9299999999998</v>
      </c>
      <c r="P582" s="151">
        <f>+IF(OR($Q582=Parametres!$G$2,$Q582=Parametres!$G$3),K582,E582)</f>
        <v>29931.53</v>
      </c>
      <c r="Q582" s="150" t="str">
        <f t="shared" si="47"/>
        <v>7-Dépenses</v>
      </c>
      <c r="R582" s="149" t="str">
        <f t="shared" si="48"/>
        <v>14</v>
      </c>
      <c r="S582" s="150" t="str">
        <f t="shared" si="49"/>
        <v>_</v>
      </c>
      <c r="T582" s="152" t="str">
        <f>+VLOOKUP($L582,Data_Validation!$A:$D,1,0)</f>
        <v>14C</v>
      </c>
      <c r="U582" s="152" t="str">
        <f>+VLOOKUP($L582,Data_Validation!$A:$D,3,0)</f>
        <v>Véhicules usagés</v>
      </c>
      <c r="V582" s="152" t="str">
        <f>+VLOOKUP($L582,Data_Validation!$A:$D,4,0)</f>
        <v>Entretien stock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1773</v>
      </c>
      <c r="B583" s="708" t="s">
        <v>901</v>
      </c>
      <c r="C583" s="709">
        <v>27740.32</v>
      </c>
      <c r="D583" s="709">
        <v>2775.76</v>
      </c>
      <c r="E583" s="709">
        <v>30516.080000000002</v>
      </c>
      <c r="F583" s="708" t="s">
        <v>2228</v>
      </c>
      <c r="G583" s="708" t="s">
        <v>2280</v>
      </c>
      <c r="H583" s="709" t="s">
        <v>2997</v>
      </c>
      <c r="I583" s="710"/>
      <c r="J583" s="710"/>
      <c r="K583" s="710"/>
      <c r="L583" s="149" t="str">
        <f t="shared" si="45"/>
        <v>84A</v>
      </c>
      <c r="M583" s="150" t="str">
        <f t="shared" si="46"/>
        <v>TAXES BATISSE - NEUF BMW</v>
      </c>
      <c r="N583" s="151">
        <f>+IF(OR($Q583=Parametres!$G$2,$Q583=Parametres!$G$3),I583,C583)</f>
        <v>27740.32</v>
      </c>
      <c r="O583" s="151">
        <f>+IF(OR($Q583=Parametres!$G$2,$Q583=Parametres!$G$3),J583,D583)</f>
        <v>2775.76</v>
      </c>
      <c r="P583" s="151">
        <f>+IF(OR($Q583=Parametres!$G$2,$Q583=Parametres!$G$3),K583,E583)</f>
        <v>30516.080000000002</v>
      </c>
      <c r="Q583" s="150" t="str">
        <f t="shared" si="47"/>
        <v>7-Dépenses</v>
      </c>
      <c r="R583" s="149" t="str">
        <f t="shared" si="48"/>
        <v>84</v>
      </c>
      <c r="S583" s="150" t="str">
        <f t="shared" si="49"/>
        <v>_</v>
      </c>
      <c r="T583" s="152" t="str">
        <f>+VLOOKUP($L583,Data_Validation!$A:$D,1,0)</f>
        <v>84A</v>
      </c>
      <c r="U583" s="152" t="str">
        <f>+VLOOKUP($L583,Data_Validation!$A:$D,3,0)</f>
        <v>Véhicules neufs</v>
      </c>
      <c r="V583" s="152" t="str">
        <f>+VLOOKUP($L583,Data_Validation!$A:$D,4,0)</f>
        <v>Taxes foncières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1782</v>
      </c>
      <c r="B584" s="708" t="s">
        <v>937</v>
      </c>
      <c r="C584" s="710">
        <v>28090</v>
      </c>
      <c r="D584" s="710">
        <v>2809</v>
      </c>
      <c r="E584" s="710">
        <v>30899</v>
      </c>
      <c r="F584" s="708" t="s">
        <v>2228</v>
      </c>
      <c r="G584" s="708" t="s">
        <v>2268</v>
      </c>
      <c r="H584" s="664" t="s">
        <v>2997</v>
      </c>
      <c r="I584" s="663"/>
      <c r="J584" s="663"/>
      <c r="K584" s="663"/>
      <c r="L584" s="149" t="str">
        <f t="shared" si="45"/>
        <v>23C</v>
      </c>
      <c r="M584" s="150" t="str">
        <f t="shared" si="46"/>
        <v>SAL. AUTRES - USAGE BMW</v>
      </c>
      <c r="N584" s="151">
        <f>+IF(OR($Q584=Parametres!$G$2,$Q584=Parametres!$G$3),I584,C584)</f>
        <v>28090</v>
      </c>
      <c r="O584" s="151">
        <f>+IF(OR($Q584=Parametres!$G$2,$Q584=Parametres!$G$3),J584,D584)</f>
        <v>2809</v>
      </c>
      <c r="P584" s="151">
        <f>+IF(OR($Q584=Parametres!$G$2,$Q584=Parametres!$G$3),K584,E584)</f>
        <v>30899</v>
      </c>
      <c r="Q584" s="150" t="str">
        <f t="shared" si="47"/>
        <v>7-Dépenses</v>
      </c>
      <c r="R584" s="149" t="str">
        <f t="shared" si="48"/>
        <v>23</v>
      </c>
      <c r="S584" s="150" t="str">
        <f t="shared" si="49"/>
        <v>_</v>
      </c>
      <c r="T584" s="152" t="str">
        <f>+VLOOKUP($L584,Data_Validation!$A:$D,1,0)</f>
        <v>23C</v>
      </c>
      <c r="U584" s="152" t="str">
        <f>+VLOOKUP($L584,Data_Validation!$A:$D,3,0)</f>
        <v>Véhicules usagés</v>
      </c>
      <c r="V584" s="152" t="str">
        <f>+VLOOKUP($L584,Data_Validation!$A:$D,4,0)</f>
        <v>salaires autres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1730</v>
      </c>
      <c r="B585" s="708" t="s">
        <v>926</v>
      </c>
      <c r="C585" s="710">
        <v>28117.99</v>
      </c>
      <c r="D585" s="710">
        <v>4507.29</v>
      </c>
      <c r="E585" s="710">
        <v>32625.279999999999</v>
      </c>
      <c r="F585" s="708" t="s">
        <v>2228</v>
      </c>
      <c r="G585" s="708" t="s">
        <v>2282</v>
      </c>
      <c r="H585" s="657" t="s">
        <v>2997</v>
      </c>
      <c r="I585" s="656"/>
      <c r="J585" s="656"/>
      <c r="K585" s="656"/>
      <c r="L585" s="149" t="str">
        <f t="shared" si="45"/>
        <v>73A</v>
      </c>
      <c r="M585" s="150" t="str">
        <f t="shared" si="46"/>
        <v>REMISE CARTE CREDIT - NEUF BMW</v>
      </c>
      <c r="N585" s="151">
        <f>+IF(OR($Q585=Parametres!$G$2,$Q585=Parametres!$G$3),I585,C585)</f>
        <v>28117.99</v>
      </c>
      <c r="O585" s="151">
        <f>+IF(OR($Q585=Parametres!$G$2,$Q585=Parametres!$G$3),J585,D585)</f>
        <v>4507.29</v>
      </c>
      <c r="P585" s="151">
        <f>+IF(OR($Q585=Parametres!$G$2,$Q585=Parametres!$G$3),K585,E585)</f>
        <v>32625.279999999999</v>
      </c>
      <c r="Q585" s="150" t="str">
        <f t="shared" si="47"/>
        <v>7-Dépenses</v>
      </c>
      <c r="R585" s="149" t="str">
        <f t="shared" si="48"/>
        <v>73</v>
      </c>
      <c r="S585" s="150" t="str">
        <f t="shared" si="49"/>
        <v>_</v>
      </c>
      <c r="T585" s="152" t="str">
        <f>+VLOOKUP($L585,Data_Validation!$A:$D,1,0)</f>
        <v>73A</v>
      </c>
      <c r="U585" s="152" t="str">
        <f>+VLOOKUP($L585,Data_Validation!$A:$D,3,0)</f>
        <v>Véhicules neufs</v>
      </c>
      <c r="V585" s="152" t="str">
        <f>+VLOOKUP($L585,Data_Validation!$A:$D,4,0)</f>
        <v>frais bancaires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1743</v>
      </c>
      <c r="B586" s="708" t="s">
        <v>906</v>
      </c>
      <c r="C586" s="710">
        <v>28144.1</v>
      </c>
      <c r="D586" s="710">
        <v>2772.21</v>
      </c>
      <c r="E586" s="710">
        <v>30916.31</v>
      </c>
      <c r="F586" s="708" t="s">
        <v>2228</v>
      </c>
      <c r="G586" s="708" t="s">
        <v>2286</v>
      </c>
      <c r="H586" s="664" t="s">
        <v>2997</v>
      </c>
      <c r="I586" s="663"/>
      <c r="J586" s="663"/>
      <c r="K586" s="663"/>
      <c r="L586" s="149" t="str">
        <f t="shared" si="45"/>
        <v>22G</v>
      </c>
      <c r="M586" s="150" t="str">
        <f t="shared" si="46"/>
        <v>SAL. ADMIN. - PIECE BMW</v>
      </c>
      <c r="N586" s="151">
        <f>+IF(OR($Q586=Parametres!$G$2,$Q586=Parametres!$G$3),I586,C586)</f>
        <v>28144.1</v>
      </c>
      <c r="O586" s="151">
        <f>+IF(OR($Q586=Parametres!$G$2,$Q586=Parametres!$G$3),J586,D586)</f>
        <v>2772.21</v>
      </c>
      <c r="P586" s="151">
        <f>+IF(OR($Q586=Parametres!$G$2,$Q586=Parametres!$G$3),K586,E586)</f>
        <v>30916.31</v>
      </c>
      <c r="Q586" s="150" t="str">
        <f t="shared" si="47"/>
        <v>7-Dépenses</v>
      </c>
      <c r="R586" s="149" t="str">
        <f t="shared" si="48"/>
        <v>22</v>
      </c>
      <c r="S586" s="150" t="str">
        <f t="shared" si="49"/>
        <v>_</v>
      </c>
      <c r="T586" s="152" t="str">
        <f>+VLOOKUP($L586,Data_Validation!$A:$D,1,0)</f>
        <v>22G</v>
      </c>
      <c r="U586" s="152" t="str">
        <f>+VLOOKUP($L586,Data_Validation!$A:$D,3,0)</f>
        <v>Pièces</v>
      </c>
      <c r="V586" s="152" t="str">
        <f>+VLOOKUP($L586,Data_Validation!$A:$D,4,0)</f>
        <v>Salaires commis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1771</v>
      </c>
      <c r="B587" s="708" t="s">
        <v>915</v>
      </c>
      <c r="C587" s="710">
        <v>28383</v>
      </c>
      <c r="D587" s="710">
        <v>2838.3</v>
      </c>
      <c r="E587" s="710">
        <v>31221.3</v>
      </c>
      <c r="F587" s="708" t="s">
        <v>2228</v>
      </c>
      <c r="G587" s="708" t="s">
        <v>2283</v>
      </c>
      <c r="H587" s="664" t="s">
        <v>2997</v>
      </c>
      <c r="I587" s="663"/>
      <c r="J587" s="663"/>
      <c r="K587" s="663"/>
      <c r="L587" s="149" t="str">
        <f t="shared" si="45"/>
        <v>74A</v>
      </c>
      <c r="M587" s="150" t="str">
        <f t="shared" si="46"/>
        <v>FRAIS LEGAUX &amp; CTB - NEUF BMW</v>
      </c>
      <c r="N587" s="151">
        <f>+IF(OR($Q587=Parametres!$G$2,$Q587=Parametres!$G$3),I587,C587)</f>
        <v>28383</v>
      </c>
      <c r="O587" s="151">
        <f>+IF(OR($Q587=Parametres!$G$2,$Q587=Parametres!$G$3),J587,D587)</f>
        <v>2838.3</v>
      </c>
      <c r="P587" s="151">
        <f>+IF(OR($Q587=Parametres!$G$2,$Q587=Parametres!$G$3),K587,E587)</f>
        <v>31221.3</v>
      </c>
      <c r="Q587" s="150" t="str">
        <f t="shared" si="47"/>
        <v>7-Dépenses</v>
      </c>
      <c r="R587" s="149" t="str">
        <f t="shared" si="48"/>
        <v>74</v>
      </c>
      <c r="S587" s="150" t="str">
        <f t="shared" si="49"/>
        <v>_</v>
      </c>
      <c r="T587" s="152" t="str">
        <f>+VLOOKUP($L587,Data_Validation!$A:$D,1,0)</f>
        <v>74A</v>
      </c>
      <c r="U587" s="152" t="str">
        <f>+VLOOKUP($L587,Data_Validation!$A:$D,3,0)</f>
        <v>Véhicules neufs</v>
      </c>
      <c r="V587" s="152" t="str">
        <f>+VLOOKUP($L587,Data_Validation!$A:$D,4,0)</f>
        <v>honoraires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1218</v>
      </c>
      <c r="B588" s="708" t="s">
        <v>900</v>
      </c>
      <c r="C588" s="710">
        <v>29222.58</v>
      </c>
      <c r="D588" s="710">
        <v>2129.5500000000002</v>
      </c>
      <c r="E588" s="710">
        <v>31352.13</v>
      </c>
      <c r="F588" s="708" t="s">
        <v>2228</v>
      </c>
      <c r="G588" s="708" t="s">
        <v>2276</v>
      </c>
      <c r="H588" s="664" t="s">
        <v>2997</v>
      </c>
      <c r="I588" s="663"/>
      <c r="J588" s="663"/>
      <c r="K588" s="663"/>
      <c r="L588" s="149" t="str">
        <f t="shared" si="45"/>
        <v>24G</v>
      </c>
      <c r="M588" s="150" t="str">
        <f t="shared" si="46"/>
        <v>SAL. ABSENCE - PIECE BMW</v>
      </c>
      <c r="N588" s="151">
        <f>+IF(OR($Q588=Parametres!$G$2,$Q588=Parametres!$G$3),I588,C588)</f>
        <v>29222.58</v>
      </c>
      <c r="O588" s="151">
        <f>+IF(OR($Q588=Parametres!$G$2,$Q588=Parametres!$G$3),J588,D588)</f>
        <v>2129.5500000000002</v>
      </c>
      <c r="P588" s="151">
        <f>+IF(OR($Q588=Parametres!$G$2,$Q588=Parametres!$G$3),K588,E588)</f>
        <v>31352.13</v>
      </c>
      <c r="Q588" s="150" t="str">
        <f t="shared" si="47"/>
        <v>7-Dépenses</v>
      </c>
      <c r="R588" s="149" t="str">
        <f t="shared" si="48"/>
        <v>24</v>
      </c>
      <c r="S588" s="150" t="str">
        <f t="shared" si="49"/>
        <v>_</v>
      </c>
      <c r="T588" s="152" t="str">
        <f>+VLOOKUP($L588,Data_Validation!$A:$D,1,0)</f>
        <v>24G</v>
      </c>
      <c r="U588" s="152" t="str">
        <f>+VLOOKUP($L588,Data_Validation!$A:$D,3,0)</f>
        <v>Pièces</v>
      </c>
      <c r="V588" s="152" t="str">
        <f>+VLOOKUP($L588,Data_Validation!$A:$D,4,0)</f>
        <v>Salaires en absences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1724</v>
      </c>
      <c r="B589" s="708" t="s">
        <v>791</v>
      </c>
      <c r="C589" s="710">
        <v>29877.18</v>
      </c>
      <c r="D589" s="710">
        <v>3462.69</v>
      </c>
      <c r="E589" s="710">
        <v>33339.870000000003</v>
      </c>
      <c r="F589" s="708" t="s">
        <v>2228</v>
      </c>
      <c r="G589" s="708" t="s">
        <v>2258</v>
      </c>
      <c r="H589" s="664" t="s">
        <v>2997</v>
      </c>
      <c r="I589" s="663"/>
      <c r="J589" s="663"/>
      <c r="K589" s="663"/>
      <c r="L589" s="149" t="str">
        <f t="shared" si="45"/>
        <v>61E</v>
      </c>
      <c r="M589" s="150" t="str">
        <f t="shared" si="46"/>
        <v>AUTRES FOURNITURES - SERV. BMW</v>
      </c>
      <c r="N589" s="151">
        <f>+IF(OR($Q589=Parametres!$G$2,$Q589=Parametres!$G$3),I589,C589)</f>
        <v>29877.18</v>
      </c>
      <c r="O589" s="151">
        <f>+IF(OR($Q589=Parametres!$G$2,$Q589=Parametres!$G$3),J589,D589)</f>
        <v>3462.69</v>
      </c>
      <c r="P589" s="151">
        <f>+IF(OR($Q589=Parametres!$G$2,$Q589=Parametres!$G$3),K589,E589)</f>
        <v>33339.870000000003</v>
      </c>
      <c r="Q589" s="150" t="str">
        <f t="shared" si="47"/>
        <v>7-Dépenses</v>
      </c>
      <c r="R589" s="149" t="str">
        <f t="shared" si="48"/>
        <v>61</v>
      </c>
      <c r="S589" s="150" t="str">
        <f t="shared" si="49"/>
        <v>_</v>
      </c>
      <c r="T589" s="152" t="str">
        <f>+VLOOKUP($L589,Data_Validation!$A:$D,1,0)</f>
        <v>61E</v>
      </c>
      <c r="U589" s="152" t="str">
        <f>+VLOOKUP($L589,Data_Validation!$A:$D,3,0)</f>
        <v>Service</v>
      </c>
      <c r="V589" s="152" t="str">
        <f>+VLOOKUP($L589,Data_Validation!$A:$D,4,0)</f>
        <v>fournitures autres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1704</v>
      </c>
      <c r="B590" s="708" t="s">
        <v>861</v>
      </c>
      <c r="C590" s="709">
        <v>30487.279999999999</v>
      </c>
      <c r="D590" s="709">
        <v>2771.17</v>
      </c>
      <c r="E590" s="709">
        <v>33258.449999999997</v>
      </c>
      <c r="F590" s="708" t="s">
        <v>2228</v>
      </c>
      <c r="G590" s="708" t="s">
        <v>2286</v>
      </c>
      <c r="H590" s="709" t="s">
        <v>2997</v>
      </c>
      <c r="I590" s="710"/>
      <c r="J590" s="710"/>
      <c r="K590" s="710"/>
      <c r="L590" s="149" t="str">
        <f t="shared" si="45"/>
        <v>22C</v>
      </c>
      <c r="M590" s="150" t="str">
        <f t="shared" si="46"/>
        <v>SAL. ADMIN. - USAGE BMW</v>
      </c>
      <c r="N590" s="151">
        <f>+IF(OR($Q590=Parametres!$G$2,$Q590=Parametres!$G$3),I590,C590)</f>
        <v>30487.279999999999</v>
      </c>
      <c r="O590" s="497">
        <f>+IF(OR($Q590=Parametres!$G$2,$Q590=Parametres!$G$3),J590,D590)</f>
        <v>2771.17</v>
      </c>
      <c r="P590" s="151">
        <f>+IF(OR($Q590=Parametres!$G$2,$Q590=Parametres!$G$3),K590,E590)</f>
        <v>33258.449999999997</v>
      </c>
      <c r="Q590" s="150" t="str">
        <f t="shared" si="47"/>
        <v>7-Dépenses</v>
      </c>
      <c r="R590" s="149" t="str">
        <f t="shared" si="48"/>
        <v>22</v>
      </c>
      <c r="S590" s="150" t="str">
        <f t="shared" si="49"/>
        <v>_</v>
      </c>
      <c r="T590" s="152" t="str">
        <f>+VLOOKUP($L590,Data_Validation!$A:$D,1,0)</f>
        <v>22C</v>
      </c>
      <c r="U590" s="152" t="str">
        <f>+VLOOKUP($L590,Data_Validation!$A:$D,3,0)</f>
        <v>Véhicules usagés</v>
      </c>
      <c r="V590" s="152" t="str">
        <f>+VLOOKUP($L590,Data_Validation!$A:$D,4,0)</f>
        <v>Salaires commis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1774</v>
      </c>
      <c r="B591" s="708" t="s">
        <v>887</v>
      </c>
      <c r="C591" s="709">
        <v>30706.9</v>
      </c>
      <c r="D591" s="709">
        <v>1954.82</v>
      </c>
      <c r="E591" s="709">
        <v>32661.72</v>
      </c>
      <c r="F591" s="708" t="s">
        <v>2228</v>
      </c>
      <c r="G591" s="708" t="s">
        <v>2288</v>
      </c>
      <c r="H591" s="709" t="s">
        <v>2997</v>
      </c>
      <c r="I591" s="710"/>
      <c r="J591" s="710"/>
      <c r="K591" s="710"/>
      <c r="L591" s="149" t="str">
        <f t="shared" si="45"/>
        <v>20G</v>
      </c>
      <c r="M591" s="150" t="str">
        <f t="shared" si="46"/>
        <v>SAL. PROPRIETAIRE - PIECE BMW</v>
      </c>
      <c r="N591" s="151">
        <f>+IF(OR($Q591=Parametres!$G$2,$Q591=Parametres!$G$3),I591,C591)</f>
        <v>30706.9</v>
      </c>
      <c r="O591" s="498">
        <f>+IF(OR($Q591=Parametres!$G$2,$Q591=Parametres!$G$3),J591,D591)</f>
        <v>1954.82</v>
      </c>
      <c r="P591" s="151">
        <f>+IF(OR($Q591=Parametres!$G$2,$Q591=Parametres!$G$3),K591,E591)</f>
        <v>32661.72</v>
      </c>
      <c r="Q591" s="150" t="str">
        <f t="shared" si="47"/>
        <v>7-Dépenses</v>
      </c>
      <c r="R591" s="149" t="str">
        <f t="shared" si="48"/>
        <v>20</v>
      </c>
      <c r="S591" s="150" t="str">
        <f t="shared" si="49"/>
        <v>_</v>
      </c>
      <c r="T591" s="152" t="str">
        <f>+VLOOKUP($L591,Data_Validation!$A:$D,1,0)</f>
        <v>20G</v>
      </c>
      <c r="U591" s="152" t="str">
        <f>+VLOOKUP($L591,Data_Validation!$A:$D,3,0)</f>
        <v>Pièces</v>
      </c>
      <c r="V591" s="152" t="str">
        <f>+VLOOKUP($L591,Data_Validation!$A:$D,4,0)</f>
        <v>Salaires propriétaire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1750</v>
      </c>
      <c r="B592" s="708" t="s">
        <v>959</v>
      </c>
      <c r="C592" s="709">
        <v>31197.68</v>
      </c>
      <c r="D592" s="709">
        <v>4126.96</v>
      </c>
      <c r="E592" s="709">
        <v>35324.639999999999</v>
      </c>
      <c r="F592" s="708" t="s">
        <v>2228</v>
      </c>
      <c r="G592" s="708" t="s">
        <v>2281</v>
      </c>
      <c r="H592" s="709" t="s">
        <v>2997</v>
      </c>
      <c r="I592" s="710"/>
      <c r="J592" s="710"/>
      <c r="K592" s="710"/>
      <c r="L592" s="149" t="str">
        <f t="shared" si="45"/>
        <v>70A</v>
      </c>
      <c r="M592" s="150" t="str">
        <f t="shared" si="46"/>
        <v>SERV. EXTERIEURS - NEUF BMW</v>
      </c>
      <c r="N592" s="151">
        <f>+IF(OR($Q592=Parametres!$G$2,$Q592=Parametres!$G$3),I592,C592)</f>
        <v>31197.68</v>
      </c>
      <c r="O592" s="497">
        <f>+IF(OR($Q592=Parametres!$G$2,$Q592=Parametres!$G$3),J592,D592)</f>
        <v>4126.96</v>
      </c>
      <c r="P592" s="151">
        <f>+IF(OR($Q592=Parametres!$G$2,$Q592=Parametres!$G$3),K592,E592)</f>
        <v>35324.639999999999</v>
      </c>
      <c r="Q592" s="150" t="str">
        <f t="shared" si="47"/>
        <v>7-Dépenses</v>
      </c>
      <c r="R592" s="149" t="str">
        <f t="shared" si="48"/>
        <v>70</v>
      </c>
      <c r="S592" s="150" t="str">
        <f t="shared" si="49"/>
        <v>_</v>
      </c>
      <c r="T592" s="152" t="str">
        <f>+VLOOKUP($L592,Data_Validation!$A:$D,1,0)</f>
        <v>70A</v>
      </c>
      <c r="U592" s="152" t="str">
        <f>+VLOOKUP($L592,Data_Validation!$A:$D,3,0)</f>
        <v>Véhicules neufs</v>
      </c>
      <c r="V592" s="152" t="str">
        <f>+VLOOKUP($L592,Data_Validation!$A:$D,4,0)</f>
        <v>services extérieurs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1723</v>
      </c>
      <c r="B593" s="708" t="s">
        <v>860</v>
      </c>
      <c r="C593" s="709">
        <v>33463.379999999997</v>
      </c>
      <c r="D593" s="709">
        <v>7567.43</v>
      </c>
      <c r="E593" s="709">
        <v>41030.81</v>
      </c>
      <c r="F593" s="708" t="s">
        <v>2228</v>
      </c>
      <c r="G593" s="708" t="s">
        <v>2267</v>
      </c>
      <c r="H593" s="709" t="s">
        <v>2997</v>
      </c>
      <c r="I593" s="710"/>
      <c r="J593" s="710"/>
      <c r="K593" s="710"/>
      <c r="L593" s="149" t="str">
        <f t="shared" si="45"/>
        <v>16G</v>
      </c>
      <c r="M593" s="150" t="str">
        <f t="shared" si="46"/>
        <v>PUBLICITE - PIECE BMW</v>
      </c>
      <c r="N593" s="151">
        <f>+IF(OR($Q593=Parametres!$G$2,$Q593=Parametres!$G$3),I593,C593)</f>
        <v>33463.379999999997</v>
      </c>
      <c r="O593" s="498">
        <f>+IF(OR($Q593=Parametres!$G$2,$Q593=Parametres!$G$3),J593,D593)</f>
        <v>7567.43</v>
      </c>
      <c r="P593" s="151">
        <f>+IF(OR($Q593=Parametres!$G$2,$Q593=Parametres!$G$3),K593,E593)</f>
        <v>41030.81</v>
      </c>
      <c r="Q593" s="150" t="str">
        <f t="shared" si="47"/>
        <v>7-Dépenses</v>
      </c>
      <c r="R593" s="149" t="str">
        <f t="shared" si="48"/>
        <v>16</v>
      </c>
      <c r="S593" s="150" t="str">
        <f t="shared" si="49"/>
        <v>_</v>
      </c>
      <c r="T593" s="152" t="str">
        <f>+VLOOKUP($L593,Data_Validation!$A:$D,1,0)</f>
        <v>16G</v>
      </c>
      <c r="U593" s="152" t="str">
        <f>+VLOOKUP($L593,Data_Validation!$A:$D,3,0)</f>
        <v>Pièces</v>
      </c>
      <c r="V593" s="152" t="str">
        <f>+VLOOKUP($L593,Data_Validation!$A:$D,4,0)</f>
        <v>Publicité 2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1805</v>
      </c>
      <c r="B594" s="708" t="s">
        <v>938</v>
      </c>
      <c r="C594" s="710">
        <v>37588.6</v>
      </c>
      <c r="D594" s="710">
        <v>4326.13</v>
      </c>
      <c r="E594" s="710">
        <v>41914.730000000003</v>
      </c>
      <c r="F594" s="708" t="s">
        <v>2228</v>
      </c>
      <c r="G594" s="708" t="s">
        <v>2287</v>
      </c>
      <c r="H594" s="664" t="s">
        <v>2997</v>
      </c>
      <c r="I594" s="663"/>
      <c r="J594" s="663"/>
      <c r="K594" s="663"/>
      <c r="L594" s="149" t="str">
        <f t="shared" si="45"/>
        <v>21G</v>
      </c>
      <c r="M594" s="150" t="str">
        <f t="shared" si="46"/>
        <v>SAL. SUPERVISION - PIECE BMW</v>
      </c>
      <c r="N594" s="151">
        <f>+IF(OR($Q594=Parametres!$G$2,$Q594=Parametres!$G$3),I594,C594)</f>
        <v>37588.6</v>
      </c>
      <c r="O594" s="151">
        <f>+IF(OR($Q594=Parametres!$G$2,$Q594=Parametres!$G$3),J594,D594)</f>
        <v>4326.13</v>
      </c>
      <c r="P594" s="151">
        <f>+IF(OR($Q594=Parametres!$G$2,$Q594=Parametres!$G$3),K594,E594)</f>
        <v>41914.730000000003</v>
      </c>
      <c r="Q594" s="150" t="str">
        <f t="shared" si="47"/>
        <v>7-Dépenses</v>
      </c>
      <c r="R594" s="149" t="str">
        <f t="shared" si="48"/>
        <v>21</v>
      </c>
      <c r="S594" s="150" t="str">
        <f t="shared" si="49"/>
        <v>_</v>
      </c>
      <c r="T594" s="152" t="str">
        <f>+VLOOKUP($L594,Data_Validation!$A:$D,1,0)</f>
        <v>21G</v>
      </c>
      <c r="U594" s="152" t="str">
        <f>+VLOOKUP($L594,Data_Validation!$A:$D,3,0)</f>
        <v>Pièces</v>
      </c>
      <c r="V594" s="152" t="str">
        <f>+VLOOKUP($L594,Data_Validation!$A:$D,4,0)</f>
        <v>Salaires cadres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1783</v>
      </c>
      <c r="B595" s="708" t="s">
        <v>897</v>
      </c>
      <c r="C595" s="710">
        <v>38383.620000000003</v>
      </c>
      <c r="D595" s="710">
        <v>2443.5300000000002</v>
      </c>
      <c r="E595" s="710">
        <v>40827.15</v>
      </c>
      <c r="F595" s="708" t="s">
        <v>2228</v>
      </c>
      <c r="G595" s="708" t="s">
        <v>2288</v>
      </c>
      <c r="H595" s="664" t="s">
        <v>2997</v>
      </c>
      <c r="I595" s="663"/>
      <c r="J595" s="663"/>
      <c r="K595" s="663"/>
      <c r="L595" s="149" t="str">
        <f t="shared" si="45"/>
        <v>20E</v>
      </c>
      <c r="M595" s="150" t="str">
        <f t="shared" si="46"/>
        <v>SAL. PROPRIETAIRE - SERV. BMW</v>
      </c>
      <c r="N595" s="151">
        <f>+IF(OR($Q595=Parametres!$G$2,$Q595=Parametres!$G$3),I595,C595)</f>
        <v>38383.620000000003</v>
      </c>
      <c r="O595" s="151">
        <f>+IF(OR($Q595=Parametres!$G$2,$Q595=Parametres!$G$3),J595,D595)</f>
        <v>2443.5300000000002</v>
      </c>
      <c r="P595" s="151">
        <f>+IF(OR($Q595=Parametres!$G$2,$Q595=Parametres!$G$3),K595,E595)</f>
        <v>40827.15</v>
      </c>
      <c r="Q595" s="150" t="str">
        <f t="shared" si="47"/>
        <v>7-Dépenses</v>
      </c>
      <c r="R595" s="149" t="str">
        <f t="shared" si="48"/>
        <v>20</v>
      </c>
      <c r="S595" s="150" t="str">
        <f t="shared" si="49"/>
        <v>_</v>
      </c>
      <c r="T595" s="152" t="str">
        <f>+VLOOKUP($L595,Data_Validation!$A:$D,1,0)</f>
        <v>20E</v>
      </c>
      <c r="U595" s="152" t="str">
        <f>+VLOOKUP($L595,Data_Validation!$A:$D,3,0)</f>
        <v>Service</v>
      </c>
      <c r="V595" s="152" t="str">
        <f>+VLOOKUP($L595,Data_Validation!$A:$D,4,0)</f>
        <v>Salaires propriétaire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1745</v>
      </c>
      <c r="B596" s="708" t="s">
        <v>902</v>
      </c>
      <c r="C596" s="710">
        <v>38496.04</v>
      </c>
      <c r="D596" s="710">
        <v>1756.92</v>
      </c>
      <c r="E596" s="710">
        <v>40252.959999999999</v>
      </c>
      <c r="F596" s="708" t="s">
        <v>2228</v>
      </c>
      <c r="G596" s="708" t="s">
        <v>2279</v>
      </c>
      <c r="H596" s="600" t="s">
        <v>2997</v>
      </c>
      <c r="I596" s="153"/>
      <c r="J596" s="153"/>
      <c r="K596" s="153"/>
      <c r="L596" s="149" t="str">
        <f t="shared" si="45"/>
        <v>25G</v>
      </c>
      <c r="M596" s="150" t="str">
        <f t="shared" si="46"/>
        <v>TAXES PAYE - PIECE BMW</v>
      </c>
      <c r="N596" s="151">
        <f>+IF(OR($Q596=Parametres!$G$2,$Q596=Parametres!$G$3),I596,C596)</f>
        <v>38496.04</v>
      </c>
      <c r="O596" s="151">
        <f>+IF(OR($Q596=Parametres!$G$2,$Q596=Parametres!$G$3),J596,D596)</f>
        <v>1756.92</v>
      </c>
      <c r="P596" s="151">
        <f>+IF(OR($Q596=Parametres!$G$2,$Q596=Parametres!$G$3),K596,E596)</f>
        <v>40252.959999999999</v>
      </c>
      <c r="Q596" s="150" t="str">
        <f t="shared" si="47"/>
        <v>7-Dépenses</v>
      </c>
      <c r="R596" s="149" t="str">
        <f t="shared" si="48"/>
        <v>25</v>
      </c>
      <c r="S596" s="150" t="str">
        <f t="shared" si="49"/>
        <v>_</v>
      </c>
      <c r="T596" s="152" t="str">
        <f>+VLOOKUP($L596,Data_Validation!$A:$D,1,0)</f>
        <v>25G</v>
      </c>
      <c r="U596" s="152" t="str">
        <f>+VLOOKUP($L596,Data_Validation!$A:$D,3,0)</f>
        <v>Pièces</v>
      </c>
      <c r="V596" s="152" t="str">
        <f>+VLOOKUP($L596,Data_Validation!$A:$D,4,0)</f>
        <v>Déduction à la source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1212</v>
      </c>
      <c r="B597" s="708" t="s">
        <v>858</v>
      </c>
      <c r="C597" s="710">
        <v>38773.67</v>
      </c>
      <c r="D597" s="710">
        <v>2882.43</v>
      </c>
      <c r="E597" s="710">
        <v>41656.1</v>
      </c>
      <c r="F597" s="708" t="s">
        <v>2228</v>
      </c>
      <c r="G597" s="708" t="s">
        <v>2276</v>
      </c>
      <c r="H597" s="709" t="s">
        <v>2997</v>
      </c>
      <c r="I597" s="709"/>
      <c r="J597" s="709"/>
      <c r="K597" s="709"/>
      <c r="L597" s="149" t="str">
        <f t="shared" si="45"/>
        <v>24C</v>
      </c>
      <c r="M597" s="150" t="str">
        <f t="shared" si="46"/>
        <v>SAL. ABSENCE - USAGE BMW</v>
      </c>
      <c r="N597" s="151">
        <f>+IF(OR($Q597=Parametres!$G$2,$Q597=Parametres!$G$3),I597,C597)</f>
        <v>38773.67</v>
      </c>
      <c r="O597" s="151">
        <f>+IF(OR($Q597=Parametres!$G$2,$Q597=Parametres!$G$3),J597,D597)</f>
        <v>2882.43</v>
      </c>
      <c r="P597" s="151">
        <f>+IF(OR($Q597=Parametres!$G$2,$Q597=Parametres!$G$3),K597,E597)</f>
        <v>41656.1</v>
      </c>
      <c r="Q597" s="150" t="str">
        <f t="shared" si="47"/>
        <v>7-Dépenses</v>
      </c>
      <c r="R597" s="149" t="str">
        <f t="shared" si="48"/>
        <v>24</v>
      </c>
      <c r="S597" s="150" t="str">
        <f t="shared" si="49"/>
        <v>_</v>
      </c>
      <c r="T597" s="152" t="str">
        <f>+VLOOKUP($L597,Data_Validation!$A:$D,1,0)</f>
        <v>24C</v>
      </c>
      <c r="U597" s="152" t="str">
        <f>+VLOOKUP($L597,Data_Validation!$A:$D,3,0)</f>
        <v>Véhicules usagés</v>
      </c>
      <c r="V597" s="152" t="str">
        <f>+VLOOKUP($L597,Data_Validation!$A:$D,4,0)</f>
        <v>Salaires en absences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1709</v>
      </c>
      <c r="B598" s="708" t="s">
        <v>883</v>
      </c>
      <c r="C598" s="710">
        <v>39336.54</v>
      </c>
      <c r="D598" s="710">
        <v>1515.95</v>
      </c>
      <c r="E598" s="710">
        <v>40852.49</v>
      </c>
      <c r="F598" s="708" t="s">
        <v>2228</v>
      </c>
      <c r="G598" s="708" t="s">
        <v>2279</v>
      </c>
      <c r="H598" s="709" t="s">
        <v>2997</v>
      </c>
      <c r="I598" s="709"/>
      <c r="J598" s="709"/>
      <c r="K598" s="709"/>
      <c r="L598" s="149" t="str">
        <f t="shared" si="45"/>
        <v>25C</v>
      </c>
      <c r="M598" s="150" t="str">
        <f t="shared" si="46"/>
        <v>TAXES PAYE - USAGE BMW</v>
      </c>
      <c r="N598" s="151">
        <f>+IF(OR($Q598=Parametres!$G$2,$Q598=Parametres!$G$3),I598,C598)</f>
        <v>39336.54</v>
      </c>
      <c r="O598" s="497">
        <f>+IF(OR($Q598=Parametres!$G$2,$Q598=Parametres!$G$3),J598,D598)</f>
        <v>1515.95</v>
      </c>
      <c r="P598" s="151">
        <f>+IF(OR($Q598=Parametres!$G$2,$Q598=Parametres!$G$3),K598,E598)</f>
        <v>40852.49</v>
      </c>
      <c r="Q598" s="150" t="str">
        <f t="shared" si="47"/>
        <v>7-Dépenses</v>
      </c>
      <c r="R598" s="149" t="str">
        <f t="shared" si="48"/>
        <v>25</v>
      </c>
      <c r="S598" s="150" t="str">
        <f t="shared" si="49"/>
        <v>_</v>
      </c>
      <c r="T598" s="152" t="str">
        <f>+VLOOKUP($L598,Data_Validation!$A:$D,1,0)</f>
        <v>25C</v>
      </c>
      <c r="U598" s="152" t="str">
        <f>+VLOOKUP($L598,Data_Validation!$A:$D,3,0)</f>
        <v>Véhicules usagés</v>
      </c>
      <c r="V598" s="152" t="str">
        <f>+VLOOKUP($L598,Data_Validation!$A:$D,4,0)</f>
        <v>Déduction à la source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1770</v>
      </c>
      <c r="B599" s="708" t="s">
        <v>922</v>
      </c>
      <c r="C599" s="710">
        <v>40141.269999999997</v>
      </c>
      <c r="D599" s="710">
        <v>4619.41</v>
      </c>
      <c r="E599" s="710">
        <v>44760.68</v>
      </c>
      <c r="F599" s="708" t="s">
        <v>2228</v>
      </c>
      <c r="G599" s="708" t="s">
        <v>2287</v>
      </c>
      <c r="H599" s="709" t="s">
        <v>2997</v>
      </c>
      <c r="I599" s="709"/>
      <c r="J599" s="709"/>
      <c r="K599" s="709"/>
      <c r="L599" s="149" t="str">
        <f t="shared" si="45"/>
        <v>21C</v>
      </c>
      <c r="M599" s="150" t="str">
        <f t="shared" si="46"/>
        <v>SAL. SUPERVISION - USAGE BMW</v>
      </c>
      <c r="N599" s="151">
        <f>+IF(OR($Q599=Parametres!$G$2,$Q599=Parametres!$G$3),I599,C599)</f>
        <v>40141.269999999997</v>
      </c>
      <c r="O599" s="151">
        <f>+IF(OR($Q599=Parametres!$G$2,$Q599=Parametres!$G$3),J599,D599)</f>
        <v>4619.41</v>
      </c>
      <c r="P599" s="151">
        <f>+IF(OR($Q599=Parametres!$G$2,$Q599=Parametres!$G$3),K599,E599)</f>
        <v>44760.68</v>
      </c>
      <c r="Q599" s="150" t="str">
        <f t="shared" si="47"/>
        <v>7-Dépenses</v>
      </c>
      <c r="R599" s="149" t="str">
        <f t="shared" si="48"/>
        <v>21</v>
      </c>
      <c r="S599" s="150" t="str">
        <f t="shared" si="49"/>
        <v>_</v>
      </c>
      <c r="T599" s="152" t="str">
        <f>+VLOOKUP($L599,Data_Validation!$A:$D,1,0)</f>
        <v>21C</v>
      </c>
      <c r="U599" s="152" t="str">
        <f>+VLOOKUP($L599,Data_Validation!$A:$D,3,0)</f>
        <v>Véhicules usagés</v>
      </c>
      <c r="V599" s="152" t="str">
        <f>+VLOOKUP($L599,Data_Validation!$A:$D,4,0)</f>
        <v>Salaires cadres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1706</v>
      </c>
      <c r="B600" s="708" t="s">
        <v>787</v>
      </c>
      <c r="C600" s="710">
        <v>41574.46</v>
      </c>
      <c r="D600" s="710">
        <v>3380.72</v>
      </c>
      <c r="E600" s="710">
        <v>44955.18</v>
      </c>
      <c r="F600" s="708" t="s">
        <v>2228</v>
      </c>
      <c r="G600" s="708" t="s">
        <v>2290</v>
      </c>
      <c r="H600" s="600" t="s">
        <v>2997</v>
      </c>
      <c r="I600" s="153"/>
      <c r="J600" s="153"/>
      <c r="K600" s="153"/>
      <c r="L600" s="149" t="str">
        <f t="shared" si="45"/>
        <v>18C</v>
      </c>
      <c r="M600" s="150" t="str">
        <f t="shared" si="46"/>
        <v>INT. FLOOR PLAN - USAGE BMW</v>
      </c>
      <c r="N600" s="151">
        <f>+IF(OR($Q600=Parametres!$G$2,$Q600=Parametres!$G$3),I600,C600)</f>
        <v>41574.46</v>
      </c>
      <c r="O600" s="151">
        <f>+IF(OR($Q600=Parametres!$G$2,$Q600=Parametres!$G$3),J600,D600)</f>
        <v>3380.72</v>
      </c>
      <c r="P600" s="151">
        <f>+IF(OR($Q600=Parametres!$G$2,$Q600=Parametres!$G$3),K600,E600)</f>
        <v>44955.18</v>
      </c>
      <c r="Q600" s="150" t="str">
        <f t="shared" si="47"/>
        <v>7-Dépenses</v>
      </c>
      <c r="R600" s="149" t="str">
        <f t="shared" si="48"/>
        <v>18</v>
      </c>
      <c r="S600" s="150" t="str">
        <f t="shared" si="49"/>
        <v>_</v>
      </c>
      <c r="T600" s="152" t="str">
        <f>+VLOOKUP($L600,Data_Validation!$A:$D,1,0)</f>
        <v>18C</v>
      </c>
      <c r="U600" s="152" t="str">
        <f>+VLOOKUP($L600,Data_Validation!$A:$D,3,0)</f>
        <v>Véhicules usagés</v>
      </c>
      <c r="V600" s="152" t="str">
        <f>+VLOOKUP($L600,Data_Validation!$A:$D,4,0)</f>
        <v>Intérêt de gros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1795</v>
      </c>
      <c r="B601" s="708" t="s">
        <v>914</v>
      </c>
      <c r="C601" s="710">
        <v>46150.41</v>
      </c>
      <c r="D601" s="710">
        <v>3604.97</v>
      </c>
      <c r="E601" s="710">
        <v>49755.38</v>
      </c>
      <c r="F601" s="708" t="s">
        <v>2228</v>
      </c>
      <c r="G601" s="708" t="s">
        <v>2273</v>
      </c>
      <c r="H601" s="600" t="s">
        <v>2997</v>
      </c>
      <c r="I601" s="153"/>
      <c r="J601" s="153"/>
      <c r="K601" s="153"/>
      <c r="L601" s="149" t="str">
        <f t="shared" si="45"/>
        <v>27A</v>
      </c>
      <c r="M601" s="150" t="str">
        <f t="shared" si="46"/>
        <v>AVANT. SOCIAUX - NEUF BMW</v>
      </c>
      <c r="N601" s="151">
        <f>+IF(OR($Q601=Parametres!$G$2,$Q601=Parametres!$G$3),I601,C601)</f>
        <v>46150.41</v>
      </c>
      <c r="O601" s="497">
        <f>+IF(OR($Q601=Parametres!$G$2,$Q601=Parametres!$G$3),J601,D601)</f>
        <v>3604.97</v>
      </c>
      <c r="P601" s="151">
        <f>+IF(OR($Q601=Parametres!$G$2,$Q601=Parametres!$G$3),K601,E601)</f>
        <v>49755.38</v>
      </c>
      <c r="Q601" s="150" t="str">
        <f t="shared" si="47"/>
        <v>7-Dépenses</v>
      </c>
      <c r="R601" s="149" t="str">
        <f t="shared" si="48"/>
        <v>27</v>
      </c>
      <c r="S601" s="150" t="str">
        <f t="shared" si="49"/>
        <v>_</v>
      </c>
      <c r="T601" s="152" t="str">
        <f>+VLOOKUP($L601,Data_Validation!$A:$D,1,0)</f>
        <v>27A</v>
      </c>
      <c r="U601" s="152" t="str">
        <f>+VLOOKUP($L601,Data_Validation!$A:$D,3,0)</f>
        <v>Véhicules neufs</v>
      </c>
      <c r="V601" s="152" t="str">
        <f>+VLOOKUP($L601,Data_Validation!$A:$D,4,0)</f>
        <v>Bénéfices marginaux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1776</v>
      </c>
      <c r="B602" s="708" t="s">
        <v>1777</v>
      </c>
      <c r="C602" s="710">
        <v>46170</v>
      </c>
      <c r="D602" s="710">
        <v>4539.87</v>
      </c>
      <c r="E602" s="710">
        <v>50709.87</v>
      </c>
      <c r="F602" s="708" t="s">
        <v>2228</v>
      </c>
      <c r="G602" s="708" t="s">
        <v>2285</v>
      </c>
      <c r="H602" s="709" t="s">
        <v>2997</v>
      </c>
      <c r="I602" s="709"/>
      <c r="J602" s="709"/>
      <c r="K602" s="709"/>
      <c r="L602" s="149" t="str">
        <f t="shared" si="45"/>
        <v>81A</v>
      </c>
      <c r="M602" s="150" t="str">
        <f t="shared" si="46"/>
        <v>AMORT. AMEL. LOC. - NEUF BMW</v>
      </c>
      <c r="N602" s="151">
        <f>+IF(OR($Q602=Parametres!$G$2,$Q602=Parametres!$G$3),I602,C602)</f>
        <v>46170</v>
      </c>
      <c r="O602" s="497">
        <f>+IF(OR($Q602=Parametres!$G$2,$Q602=Parametres!$G$3),J602,D602)</f>
        <v>4539.87</v>
      </c>
      <c r="P602" s="151">
        <f>+IF(OR($Q602=Parametres!$G$2,$Q602=Parametres!$G$3),K602,E602)</f>
        <v>50709.87</v>
      </c>
      <c r="Q602" s="150" t="str">
        <f t="shared" si="47"/>
        <v>7-Dépenses</v>
      </c>
      <c r="R602" s="149" t="str">
        <f t="shared" si="48"/>
        <v>81</v>
      </c>
      <c r="S602" s="150" t="str">
        <f t="shared" si="49"/>
        <v>_</v>
      </c>
      <c r="T602" s="152" t="str">
        <f>+VLOOKUP($L602,Data_Validation!$A:$D,1,0)</f>
        <v>81A</v>
      </c>
      <c r="U602" s="152" t="str">
        <f>+VLOOKUP($L602,Data_Validation!$A:$D,3,0)</f>
        <v>Véhicules neufs</v>
      </c>
      <c r="V602" s="152" t="str">
        <f>+VLOOKUP($L602,Data_Validation!$A:$D,4,0)</f>
        <v>Amortissement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1640</v>
      </c>
      <c r="B603" s="708" t="s">
        <v>913</v>
      </c>
      <c r="C603" s="710">
        <v>48334.62</v>
      </c>
      <c r="D603" s="710">
        <v>4705.18</v>
      </c>
      <c r="E603" s="710">
        <v>53039.8</v>
      </c>
      <c r="F603" s="708" t="s">
        <v>2228</v>
      </c>
      <c r="G603" s="708" t="s">
        <v>2284</v>
      </c>
      <c r="H603" s="709" t="s">
        <v>2997</v>
      </c>
      <c r="I603" s="709"/>
      <c r="J603" s="709"/>
      <c r="K603" s="709"/>
      <c r="L603" s="149" t="str">
        <f t="shared" si="45"/>
        <v>69A</v>
      </c>
      <c r="M603" s="150" t="str">
        <f t="shared" si="46"/>
        <v>FRAIS INFORMATIQUE - NEUF BMW</v>
      </c>
      <c r="N603" s="151">
        <f>+IF(OR($Q603=Parametres!$G$2,$Q603=Parametres!$G$3),I603,C603)</f>
        <v>48334.62</v>
      </c>
      <c r="O603" s="497">
        <f>+IF(OR($Q603=Parametres!$G$2,$Q603=Parametres!$G$3),J603,D603)</f>
        <v>4705.18</v>
      </c>
      <c r="P603" s="151">
        <f>+IF(OR($Q603=Parametres!$G$2,$Q603=Parametres!$G$3),K603,E603)</f>
        <v>53039.8</v>
      </c>
      <c r="Q603" s="150" t="str">
        <f t="shared" si="47"/>
        <v>7-Dépenses</v>
      </c>
      <c r="R603" s="149" t="str">
        <f t="shared" si="48"/>
        <v>69</v>
      </c>
      <c r="S603" s="150" t="str">
        <f t="shared" si="49"/>
        <v>_</v>
      </c>
      <c r="T603" s="152" t="str">
        <f>+VLOOKUP($L603,Data_Validation!$A:$D,1,0)</f>
        <v>69A</v>
      </c>
      <c r="U603" s="152" t="str">
        <f>+VLOOKUP($L603,Data_Validation!$A:$D,3,0)</f>
        <v>Véhicules neufs</v>
      </c>
      <c r="V603" s="152" t="str">
        <f>+VLOOKUP($L603,Data_Validation!$A:$D,4,0)</f>
        <v>informatique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1794</v>
      </c>
      <c r="B604" s="708" t="s">
        <v>928</v>
      </c>
      <c r="C604" s="710">
        <v>50000</v>
      </c>
      <c r="D604" s="710">
        <v>5000</v>
      </c>
      <c r="E604" s="710">
        <v>55000</v>
      </c>
      <c r="F604" s="708" t="s">
        <v>2228</v>
      </c>
      <c r="G604" s="708" t="s">
        <v>2292</v>
      </c>
      <c r="H604" s="600" t="s">
        <v>2997</v>
      </c>
      <c r="I604" s="601"/>
      <c r="J604" s="601"/>
      <c r="K604" s="601"/>
      <c r="L604" s="149" t="str">
        <f t="shared" si="45"/>
        <v>80C</v>
      </c>
      <c r="M604" s="150" t="str">
        <f t="shared" si="46"/>
        <v>LOYER OU EQUIV. - USAGE BMW</v>
      </c>
      <c r="N604" s="151">
        <f>+IF(OR($Q604=Parametres!$G$2,$Q604=Parametres!$G$3),I604,C604)</f>
        <v>50000</v>
      </c>
      <c r="O604" s="151">
        <f>+IF(OR($Q604=Parametres!$G$2,$Q604=Parametres!$G$3),J604,D604)</f>
        <v>5000</v>
      </c>
      <c r="P604" s="151">
        <f>+IF(OR($Q604=Parametres!$G$2,$Q604=Parametres!$G$3),K604,E604)</f>
        <v>55000</v>
      </c>
      <c r="Q604" s="150" t="str">
        <f t="shared" si="47"/>
        <v>7-Dépenses</v>
      </c>
      <c r="R604" s="149" t="str">
        <f t="shared" si="48"/>
        <v>80</v>
      </c>
      <c r="S604" s="150" t="str">
        <f t="shared" si="49"/>
        <v>_</v>
      </c>
      <c r="T604" s="152" t="str">
        <f>+VLOOKUP($L604,Data_Validation!$A:$D,1,0)</f>
        <v>80C</v>
      </c>
      <c r="U604" s="152" t="str">
        <f>+VLOOKUP($L604,Data_Validation!$A:$D,3,0)</f>
        <v>Véhicules usagés</v>
      </c>
      <c r="V604" s="152" t="str">
        <f>+VLOOKUP($L604,Data_Validation!$A:$D,4,0)</f>
        <v>loyer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1173</v>
      </c>
      <c r="B605" s="708" t="s">
        <v>944</v>
      </c>
      <c r="C605" s="710">
        <v>50925</v>
      </c>
      <c r="D605" s="710">
        <v>5107.62</v>
      </c>
      <c r="E605" s="710">
        <v>56032.62</v>
      </c>
      <c r="F605" s="708" t="s">
        <v>2228</v>
      </c>
      <c r="G605" s="708" t="s">
        <v>2277</v>
      </c>
      <c r="H605" s="600" t="s">
        <v>2997</v>
      </c>
      <c r="I605" s="601"/>
      <c r="J605" s="601"/>
      <c r="K605" s="601"/>
      <c r="L605" s="149" t="str">
        <f t="shared" si="45"/>
        <v>91E</v>
      </c>
      <c r="M605" s="150" t="str">
        <f t="shared" si="46"/>
        <v>DEPREC. EQUIP. - SERV. BMW</v>
      </c>
      <c r="N605" s="151">
        <f>+IF(OR($Q605=Parametres!$G$2,$Q605=Parametres!$G$3),I605,C605)</f>
        <v>50925</v>
      </c>
      <c r="O605" s="151">
        <f>+IF(OR($Q605=Parametres!$G$2,$Q605=Parametres!$G$3),J605,D605)</f>
        <v>5107.62</v>
      </c>
      <c r="P605" s="151">
        <f>+IF(OR($Q605=Parametres!$G$2,$Q605=Parametres!$G$3),K605,E605)</f>
        <v>56032.62</v>
      </c>
      <c r="Q605" s="150" t="str">
        <f t="shared" si="47"/>
        <v>7-Dépenses</v>
      </c>
      <c r="R605" s="149" t="str">
        <f t="shared" si="48"/>
        <v>91</v>
      </c>
      <c r="S605" s="150" t="str">
        <f t="shared" si="49"/>
        <v>_</v>
      </c>
      <c r="T605" s="152" t="str">
        <f>+VLOOKUP($L605,Data_Validation!$A:$D,1,0)</f>
        <v>91E</v>
      </c>
      <c r="U605" s="152" t="str">
        <f>+VLOOKUP($L605,Data_Validation!$A:$D,3,0)</f>
        <v>Service</v>
      </c>
      <c r="V605" s="152" t="str">
        <f>+VLOOKUP($L605,Data_Validation!$A:$D,4,0)</f>
        <v>amortissement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1772</v>
      </c>
      <c r="B606" s="708" t="s">
        <v>921</v>
      </c>
      <c r="C606" s="710">
        <v>51455.37</v>
      </c>
      <c r="D606" s="710">
        <v>3465.26</v>
      </c>
      <c r="E606" s="710">
        <v>54920.63</v>
      </c>
      <c r="F606" s="708" t="s">
        <v>2228</v>
      </c>
      <c r="G606" s="708" t="s">
        <v>2286</v>
      </c>
      <c r="H606" s="600" t="s">
        <v>2997</v>
      </c>
      <c r="I606" s="153"/>
      <c r="J606" s="153"/>
      <c r="K606" s="153"/>
      <c r="L606" s="149" t="str">
        <f t="shared" si="45"/>
        <v>22E</v>
      </c>
      <c r="M606" s="150" t="str">
        <f t="shared" si="46"/>
        <v>SAL. ADMIN. - SERV. BMW</v>
      </c>
      <c r="N606" s="151">
        <f>+IF(OR($Q606=Parametres!$G$2,$Q606=Parametres!$G$3),I606,C606)</f>
        <v>51455.37</v>
      </c>
      <c r="O606" s="151">
        <f>+IF(OR($Q606=Parametres!$G$2,$Q606=Parametres!$G$3),J606,D606)</f>
        <v>3465.26</v>
      </c>
      <c r="P606" s="151">
        <f>+IF(OR($Q606=Parametres!$G$2,$Q606=Parametres!$G$3),K606,E606)</f>
        <v>54920.63</v>
      </c>
      <c r="Q606" s="150" t="str">
        <f t="shared" si="47"/>
        <v>7-Dépenses</v>
      </c>
      <c r="R606" s="149" t="str">
        <f t="shared" si="48"/>
        <v>22</v>
      </c>
      <c r="S606" s="150" t="str">
        <f t="shared" si="49"/>
        <v>_</v>
      </c>
      <c r="T606" s="152" t="str">
        <f>+VLOOKUP($L606,Data_Validation!$A:$D,1,0)</f>
        <v>22E</v>
      </c>
      <c r="U606" s="152" t="str">
        <f>+VLOOKUP($L606,Data_Validation!$A:$D,3,0)</f>
        <v>Service</v>
      </c>
      <c r="V606" s="152" t="str">
        <f>+VLOOKUP($L606,Data_Validation!$A:$D,4,0)</f>
        <v>Salaires commis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1758</v>
      </c>
      <c r="B607" s="708" t="s">
        <v>948</v>
      </c>
      <c r="C607" s="710">
        <v>59439.43</v>
      </c>
      <c r="D607" s="710">
        <v>5918.95</v>
      </c>
      <c r="E607" s="710">
        <v>65358.38</v>
      </c>
      <c r="F607" s="708" t="s">
        <v>2228</v>
      </c>
      <c r="G607" s="708" t="s">
        <v>2273</v>
      </c>
      <c r="H607" s="664" t="s">
        <v>2997</v>
      </c>
      <c r="I607" s="663"/>
      <c r="J607" s="663"/>
      <c r="K607" s="663"/>
      <c r="L607" s="149" t="str">
        <f t="shared" si="45"/>
        <v>27E</v>
      </c>
      <c r="M607" s="150" t="str">
        <f t="shared" si="46"/>
        <v>AVANT. SOCIAUX - SERV. BMW</v>
      </c>
      <c r="N607" s="151">
        <f>+IF(OR($Q607=Parametres!$G$2,$Q607=Parametres!$G$3),I607,C607)</f>
        <v>59439.43</v>
      </c>
      <c r="O607" s="151">
        <f>+IF(OR($Q607=Parametres!$G$2,$Q607=Parametres!$G$3),J607,D607)</f>
        <v>5918.95</v>
      </c>
      <c r="P607" s="151">
        <f>+IF(OR($Q607=Parametres!$G$2,$Q607=Parametres!$G$3),K607,E607)</f>
        <v>65358.38</v>
      </c>
      <c r="Q607" s="150" t="str">
        <f t="shared" si="47"/>
        <v>7-Dépenses</v>
      </c>
      <c r="R607" s="149" t="str">
        <f t="shared" si="48"/>
        <v>27</v>
      </c>
      <c r="S607" s="150" t="str">
        <f t="shared" si="49"/>
        <v>_</v>
      </c>
      <c r="T607" s="152" t="str">
        <f>+VLOOKUP($L607,Data_Validation!$A:$D,1,0)</f>
        <v>27E</v>
      </c>
      <c r="U607" s="152" t="str">
        <f>+VLOOKUP($L607,Data_Validation!$A:$D,3,0)</f>
        <v>Service</v>
      </c>
      <c r="V607" s="152" t="str">
        <f>+VLOOKUP($L607,Data_Validation!$A:$D,4,0)</f>
        <v>Bénéfices marginaux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1766</v>
      </c>
      <c r="B608" s="708" t="s">
        <v>931</v>
      </c>
      <c r="C608" s="710">
        <v>63279.03</v>
      </c>
      <c r="D608" s="710">
        <v>5987.14</v>
      </c>
      <c r="E608" s="710">
        <v>69266.17</v>
      </c>
      <c r="F608" s="708" t="s">
        <v>2228</v>
      </c>
      <c r="G608" s="708" t="s">
        <v>2284</v>
      </c>
      <c r="H608" s="664" t="s">
        <v>2997</v>
      </c>
      <c r="I608" s="663"/>
      <c r="J608" s="663"/>
      <c r="K608" s="663"/>
      <c r="L608" s="149" t="str">
        <f t="shared" si="45"/>
        <v>69E</v>
      </c>
      <c r="M608" s="150" t="str">
        <f t="shared" si="46"/>
        <v>FRAIS INFORMATIQUE - SERV. BMW</v>
      </c>
      <c r="N608" s="151">
        <f>+IF(OR($Q608=Parametres!$G$2,$Q608=Parametres!$G$3),I608,C608)</f>
        <v>63279.03</v>
      </c>
      <c r="O608" s="497">
        <f>+IF(OR($Q608=Parametres!$G$2,$Q608=Parametres!$G$3),J608,D608)</f>
        <v>5987.14</v>
      </c>
      <c r="P608" s="151">
        <f>+IF(OR($Q608=Parametres!$G$2,$Q608=Parametres!$G$3),K608,E608)</f>
        <v>69266.17</v>
      </c>
      <c r="Q608" s="150" t="str">
        <f t="shared" si="47"/>
        <v>7-Dépenses</v>
      </c>
      <c r="R608" s="149" t="str">
        <f t="shared" si="48"/>
        <v>69</v>
      </c>
      <c r="S608" s="150" t="str">
        <f t="shared" si="49"/>
        <v>_</v>
      </c>
      <c r="T608" s="152" t="str">
        <f>+VLOOKUP($L608,Data_Validation!$A:$D,1,0)</f>
        <v>69E</v>
      </c>
      <c r="U608" s="152" t="str">
        <f>+VLOOKUP($L608,Data_Validation!$A:$D,3,0)</f>
        <v>Service</v>
      </c>
      <c r="V608" s="152" t="str">
        <f>+VLOOKUP($L608,Data_Validation!$A:$D,4,0)</f>
        <v>informatique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1767</v>
      </c>
      <c r="B609" s="708" t="s">
        <v>945</v>
      </c>
      <c r="C609" s="710">
        <v>65304.15</v>
      </c>
      <c r="D609" s="710">
        <v>15095.15</v>
      </c>
      <c r="E609" s="710">
        <v>80399.3</v>
      </c>
      <c r="F609" s="708" t="s">
        <v>2228</v>
      </c>
      <c r="G609" s="708" t="s">
        <v>2267</v>
      </c>
      <c r="H609" s="709" t="s">
        <v>2997</v>
      </c>
      <c r="I609" s="709"/>
      <c r="J609" s="709"/>
      <c r="K609" s="709"/>
      <c r="L609" s="149" t="str">
        <f t="shared" si="45"/>
        <v>16E</v>
      </c>
      <c r="M609" s="150" t="str">
        <f t="shared" si="46"/>
        <v>PUBLICITE - SERV. BMW</v>
      </c>
      <c r="N609" s="151">
        <f>+IF(OR($Q609=Parametres!$G$2,$Q609=Parametres!$G$3),I609,C609)</f>
        <v>65304.15</v>
      </c>
      <c r="O609" s="497">
        <f>+IF(OR($Q609=Parametres!$G$2,$Q609=Parametres!$G$3),J609,D609)</f>
        <v>15095.15</v>
      </c>
      <c r="P609" s="151">
        <f>+IF(OR($Q609=Parametres!$G$2,$Q609=Parametres!$G$3),K609,E609)</f>
        <v>80399.3</v>
      </c>
      <c r="Q609" s="150" t="str">
        <f t="shared" si="47"/>
        <v>7-Dépenses</v>
      </c>
      <c r="R609" s="149" t="str">
        <f t="shared" si="48"/>
        <v>16</v>
      </c>
      <c r="S609" s="150" t="str">
        <f t="shared" si="49"/>
        <v>_</v>
      </c>
      <c r="T609" s="152" t="str">
        <f>+VLOOKUP($L609,Data_Validation!$A:$D,1,0)</f>
        <v>16E</v>
      </c>
      <c r="U609" s="152" t="str">
        <f>+VLOOKUP($L609,Data_Validation!$A:$D,3,0)</f>
        <v>Service</v>
      </c>
      <c r="V609" s="152" t="str">
        <f>+VLOOKUP($L609,Data_Validation!$A:$D,4,0)</f>
        <v>Publicité 2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1753</v>
      </c>
      <c r="B610" s="662" t="s">
        <v>943</v>
      </c>
      <c r="C610" s="663">
        <v>68444.789999999994</v>
      </c>
      <c r="D610" s="663">
        <v>2187.98</v>
      </c>
      <c r="E610" s="663">
        <v>70632.77</v>
      </c>
      <c r="F610" s="662" t="s">
        <v>2228</v>
      </c>
      <c r="G610" s="662" t="s">
        <v>2296</v>
      </c>
      <c r="H610" s="657" t="s">
        <v>2997</v>
      </c>
      <c r="I610" s="656"/>
      <c r="J610" s="656"/>
      <c r="K610" s="656"/>
      <c r="L610" s="149" t="str">
        <f t="shared" si="45"/>
        <v>12C</v>
      </c>
      <c r="M610" s="150" t="str">
        <f t="shared" si="46"/>
        <v>COMM. F&amp;I - USAGE BMW</v>
      </c>
      <c r="N610" s="151">
        <f>+IF(OR($Q610=Parametres!$G$2,$Q610=Parametres!$G$3),I610,C610)</f>
        <v>68444.789999999994</v>
      </c>
      <c r="O610" s="151">
        <f>+IF(OR($Q610=Parametres!$G$2,$Q610=Parametres!$G$3),J610,D610)</f>
        <v>2187.98</v>
      </c>
      <c r="P610" s="151">
        <f>+IF(OR($Q610=Parametres!$G$2,$Q610=Parametres!$G$3),K610,E610)</f>
        <v>70632.77</v>
      </c>
      <c r="Q610" s="150" t="str">
        <f t="shared" si="47"/>
        <v>7-Dépenses</v>
      </c>
      <c r="R610" s="149" t="str">
        <f t="shared" si="48"/>
        <v>12</v>
      </c>
      <c r="S610" s="150" t="str">
        <f t="shared" si="49"/>
        <v>_</v>
      </c>
      <c r="T610" s="152" t="str">
        <f>+VLOOKUP($L610,Data_Validation!$A:$D,1,0)</f>
        <v>12C</v>
      </c>
      <c r="U610" s="152" t="str">
        <f>+VLOOKUP($L610,Data_Validation!$A:$D,3,0)</f>
        <v>Véhicules usagés</v>
      </c>
      <c r="V610" s="152" t="str">
        <f>+VLOOKUP($L610,Data_Validation!$A:$D,4,0)</f>
        <v>Comm. F&amp;I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1822</v>
      </c>
      <c r="B611" s="662" t="s">
        <v>942</v>
      </c>
      <c r="C611" s="663">
        <v>69090.3</v>
      </c>
      <c r="D611" s="663">
        <v>4398.34</v>
      </c>
      <c r="E611" s="663">
        <v>73488.639999999999</v>
      </c>
      <c r="F611" s="662" t="s">
        <v>2228</v>
      </c>
      <c r="G611" s="662" t="s">
        <v>2288</v>
      </c>
      <c r="H611" s="657" t="s">
        <v>2997</v>
      </c>
      <c r="I611" s="656"/>
      <c r="J611" s="656"/>
      <c r="K611" s="656"/>
      <c r="L611" s="149" t="str">
        <f t="shared" si="45"/>
        <v>20A</v>
      </c>
      <c r="M611" s="150" t="str">
        <f t="shared" si="46"/>
        <v>SAL. PROPRIETAIRE - NEUF BMW</v>
      </c>
      <c r="N611" s="151">
        <f>+IF(OR($Q611=Parametres!$G$2,$Q611=Parametres!$G$3),I611,C611)</f>
        <v>69090.3</v>
      </c>
      <c r="O611" s="151">
        <f>+IF(OR($Q611=Parametres!$G$2,$Q611=Parametres!$G$3),J611,D611)</f>
        <v>4398.34</v>
      </c>
      <c r="P611" s="151">
        <f>+IF(OR($Q611=Parametres!$G$2,$Q611=Parametres!$G$3),K611,E611)</f>
        <v>73488.639999999999</v>
      </c>
      <c r="Q611" s="150" t="str">
        <f t="shared" si="47"/>
        <v>7-Dépenses</v>
      </c>
      <c r="R611" s="149" t="str">
        <f t="shared" si="48"/>
        <v>20</v>
      </c>
      <c r="S611" s="150" t="str">
        <f t="shared" si="49"/>
        <v>_</v>
      </c>
      <c r="T611" s="152" t="str">
        <f>+VLOOKUP($L611,Data_Validation!$A:$D,1,0)</f>
        <v>20A</v>
      </c>
      <c r="U611" s="152" t="str">
        <f>+VLOOKUP($L611,Data_Validation!$A:$D,3,0)</f>
        <v>Véhicules neufs</v>
      </c>
      <c r="V611" s="152" t="str">
        <f>+VLOOKUP($L611,Data_Validation!$A:$D,4,0)</f>
        <v>Salaires propriétaire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1161</v>
      </c>
      <c r="B612" s="662" t="s">
        <v>1162</v>
      </c>
      <c r="C612" s="663">
        <v>72104.100000000006</v>
      </c>
      <c r="D612" s="663">
        <v>9055.31</v>
      </c>
      <c r="E612" s="663">
        <v>81159.41</v>
      </c>
      <c r="F612" s="662" t="s">
        <v>2228</v>
      </c>
      <c r="G612" s="662" t="s">
        <v>2295</v>
      </c>
      <c r="H612" s="657" t="s">
        <v>2997</v>
      </c>
      <c r="I612" s="656"/>
      <c r="J612" s="656"/>
      <c r="K612" s="656"/>
      <c r="L612" s="149" t="str">
        <f t="shared" si="45"/>
        <v>52G</v>
      </c>
      <c r="M612" s="150" t="str">
        <f t="shared" si="46"/>
        <v>DEP. VEHICULES PRETS - PIECE BMW</v>
      </c>
      <c r="N612" s="151">
        <f>+IF(OR($Q612=Parametres!$G$2,$Q612=Parametres!$G$3),I612,C612)</f>
        <v>72104.100000000006</v>
      </c>
      <c r="O612" s="151">
        <f>+IF(OR($Q612=Parametres!$G$2,$Q612=Parametres!$G$3),J612,D612)</f>
        <v>9055.31</v>
      </c>
      <c r="P612" s="151">
        <f>+IF(OR($Q612=Parametres!$G$2,$Q612=Parametres!$G$3),K612,E612)</f>
        <v>81159.41</v>
      </c>
      <c r="Q612" s="150" t="str">
        <f t="shared" si="47"/>
        <v>7-Dépenses</v>
      </c>
      <c r="R612" s="149" t="str">
        <f t="shared" si="48"/>
        <v>52</v>
      </c>
      <c r="S612" s="150" t="str">
        <f t="shared" si="49"/>
        <v>_</v>
      </c>
      <c r="T612" s="152" t="str">
        <f>+VLOOKUP($L612,Data_Validation!$A:$D,1,0)</f>
        <v>52G</v>
      </c>
      <c r="U612" s="152" t="str">
        <f>+VLOOKUP($L612,Data_Validation!$A:$D,3,0)</f>
        <v>pièces</v>
      </c>
      <c r="V612" s="152" t="str">
        <f>+VLOOKUP($L612,Data_Validation!$A:$D,4,0)</f>
        <v>Frais véhicules de cie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1163</v>
      </c>
      <c r="B613" s="662" t="s">
        <v>877</v>
      </c>
      <c r="C613" s="663">
        <v>72104.38</v>
      </c>
      <c r="D613" s="663">
        <v>9055.35</v>
      </c>
      <c r="E613" s="663">
        <v>81159.73</v>
      </c>
      <c r="F613" s="662" t="s">
        <v>2228</v>
      </c>
      <c r="G613" s="662" t="s">
        <v>2295</v>
      </c>
      <c r="H613" s="657" t="s">
        <v>2997</v>
      </c>
      <c r="I613" s="656"/>
      <c r="J613" s="656"/>
      <c r="K613" s="656"/>
      <c r="L613" s="149" t="str">
        <f t="shared" si="45"/>
        <v>52E</v>
      </c>
      <c r="M613" s="150" t="str">
        <f t="shared" si="46"/>
        <v>DEP. VEHICULES PRETS - SERV. BMW</v>
      </c>
      <c r="N613" s="151">
        <f>+IF(OR($Q613=Parametres!$G$2,$Q613=Parametres!$G$3),I613,C613)</f>
        <v>72104.38</v>
      </c>
      <c r="O613" s="151">
        <f>+IF(OR($Q613=Parametres!$G$2,$Q613=Parametres!$G$3),J613,D613)</f>
        <v>9055.35</v>
      </c>
      <c r="P613" s="151">
        <f>+IF(OR($Q613=Parametres!$G$2,$Q613=Parametres!$G$3),K613,E613)</f>
        <v>81159.73</v>
      </c>
      <c r="Q613" s="150" t="str">
        <f t="shared" si="47"/>
        <v>7-Dépenses</v>
      </c>
      <c r="R613" s="149" t="str">
        <f t="shared" si="48"/>
        <v>52</v>
      </c>
      <c r="S613" s="150" t="str">
        <f t="shared" si="49"/>
        <v>_</v>
      </c>
      <c r="T613" s="152" t="str">
        <f>+VLOOKUP($L613,Data_Validation!$A:$D,1,0)</f>
        <v>52E</v>
      </c>
      <c r="U613" s="152" t="str">
        <f>+VLOOKUP($L613,Data_Validation!$A:$D,3,0)</f>
        <v>Service</v>
      </c>
      <c r="V613" s="152" t="str">
        <f>+VLOOKUP($L613,Data_Validation!$A:$D,4,0)</f>
        <v>Frais véhicules de cie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1189</v>
      </c>
      <c r="B614" s="662" t="s">
        <v>916</v>
      </c>
      <c r="C614" s="663">
        <v>73189.34</v>
      </c>
      <c r="D614" s="663">
        <v>7087.41</v>
      </c>
      <c r="E614" s="663">
        <v>80276.75</v>
      </c>
      <c r="F614" s="662" t="s">
        <v>2228</v>
      </c>
      <c r="G614" s="662" t="s">
        <v>2267</v>
      </c>
      <c r="H614" s="657" t="s">
        <v>2997</v>
      </c>
      <c r="I614" s="656"/>
      <c r="J614" s="656"/>
      <c r="K614" s="656"/>
      <c r="L614" s="149" t="str">
        <f t="shared" si="45"/>
        <v>16C</v>
      </c>
      <c r="M614" s="150" t="str">
        <f t="shared" si="46"/>
        <v>PUBLICITE - USAGE BMW</v>
      </c>
      <c r="N614" s="151">
        <f>+IF(OR($Q614=Parametres!$G$2,$Q614=Parametres!$G$3),I614,C614)</f>
        <v>73189.34</v>
      </c>
      <c r="O614" s="151">
        <f>+IF(OR($Q614=Parametres!$G$2,$Q614=Parametres!$G$3),J614,D614)</f>
        <v>7087.41</v>
      </c>
      <c r="P614" s="151">
        <f>+IF(OR($Q614=Parametres!$G$2,$Q614=Parametres!$G$3),K614,E614)</f>
        <v>80276.75</v>
      </c>
      <c r="Q614" s="150" t="str">
        <f t="shared" si="47"/>
        <v>7-Dépenses</v>
      </c>
      <c r="R614" s="149" t="str">
        <f t="shared" si="48"/>
        <v>16</v>
      </c>
      <c r="S614" s="150" t="str">
        <f t="shared" si="49"/>
        <v>_</v>
      </c>
      <c r="T614" s="152" t="str">
        <f>+VLOOKUP($L614,Data_Validation!$A:$D,1,0)</f>
        <v>16C</v>
      </c>
      <c r="U614" s="152" t="str">
        <f>+VLOOKUP($L614,Data_Validation!$A:$D,3,0)</f>
        <v>Véhicules usagés</v>
      </c>
      <c r="V614" s="152" t="str">
        <f>+VLOOKUP($L614,Data_Validation!$A:$D,4,0)</f>
        <v>Publicité 1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1215</v>
      </c>
      <c r="B615" s="662" t="s">
        <v>949</v>
      </c>
      <c r="C615" s="663">
        <v>74218.84</v>
      </c>
      <c r="D615" s="663">
        <v>11459.71</v>
      </c>
      <c r="E615" s="663">
        <v>85678.55</v>
      </c>
      <c r="F615" s="662" t="s">
        <v>2228</v>
      </c>
      <c r="G615" s="662" t="s">
        <v>2268</v>
      </c>
      <c r="H615" s="657" t="s">
        <v>2997</v>
      </c>
      <c r="I615" s="656"/>
      <c r="J615" s="656"/>
      <c r="K615" s="656"/>
      <c r="L615" s="149" t="str">
        <f t="shared" si="45"/>
        <v>23E</v>
      </c>
      <c r="M615" s="150" t="str">
        <f t="shared" si="46"/>
        <v>SAL. AUTRES - SERV. BMW</v>
      </c>
      <c r="N615" s="151">
        <f>+IF(OR($Q615=Parametres!$G$2,$Q615=Parametres!$G$3),I615,C615)</f>
        <v>74218.84</v>
      </c>
      <c r="O615" s="151">
        <f>+IF(OR($Q615=Parametres!$G$2,$Q615=Parametres!$G$3),J615,D615)</f>
        <v>11459.71</v>
      </c>
      <c r="P615" s="151">
        <f>+IF(OR($Q615=Parametres!$G$2,$Q615=Parametres!$G$3),K615,E615)</f>
        <v>85678.55</v>
      </c>
      <c r="Q615" s="150" t="str">
        <f t="shared" si="47"/>
        <v>7-Dépenses</v>
      </c>
      <c r="R615" s="149" t="str">
        <f t="shared" si="48"/>
        <v>23</v>
      </c>
      <c r="S615" s="150" t="str">
        <f t="shared" si="49"/>
        <v>_</v>
      </c>
      <c r="T615" s="152" t="str">
        <f>+VLOOKUP($L615,Data_Validation!$A:$D,1,0)</f>
        <v>23E</v>
      </c>
      <c r="U615" s="152" t="str">
        <f>+VLOOKUP($L615,Data_Validation!$A:$D,3,0)</f>
        <v>Service</v>
      </c>
      <c r="V615" s="152" t="str">
        <f>+VLOOKUP($L615,Data_Validation!$A:$D,4,0)</f>
        <v>salaires autres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1762</v>
      </c>
      <c r="B616" s="662" t="s">
        <v>936</v>
      </c>
      <c r="C616" s="663">
        <v>81767.960000000006</v>
      </c>
      <c r="D616" s="663">
        <v>8798.8700000000008</v>
      </c>
      <c r="E616" s="663">
        <v>90566.83</v>
      </c>
      <c r="F616" s="662" t="s">
        <v>2228</v>
      </c>
      <c r="G616" s="662" t="s">
        <v>2278</v>
      </c>
      <c r="H616" s="657" t="s">
        <v>2997</v>
      </c>
      <c r="I616" s="656"/>
      <c r="J616" s="656"/>
      <c r="K616" s="656"/>
      <c r="L616" s="149" t="str">
        <f t="shared" si="45"/>
        <v>53A</v>
      </c>
      <c r="M616" s="150" t="str">
        <f t="shared" si="46"/>
        <v>VEH. COMPAGNIE - NEUF BMW</v>
      </c>
      <c r="N616" s="151">
        <f>+IF(OR($Q616=Parametres!$G$2,$Q616=Parametres!$G$3),I616,C616)</f>
        <v>81767.960000000006</v>
      </c>
      <c r="O616" s="151">
        <f>+IF(OR($Q616=Parametres!$G$2,$Q616=Parametres!$G$3),J616,D616)</f>
        <v>8798.8700000000008</v>
      </c>
      <c r="P616" s="151">
        <f>+IF(OR($Q616=Parametres!$G$2,$Q616=Parametres!$G$3),K616,E616)</f>
        <v>90566.83</v>
      </c>
      <c r="Q616" s="150" t="str">
        <f t="shared" si="47"/>
        <v>7-Dépenses</v>
      </c>
      <c r="R616" s="149" t="str">
        <f t="shared" si="48"/>
        <v>53</v>
      </c>
      <c r="S616" s="150" t="str">
        <f t="shared" si="49"/>
        <v>_</v>
      </c>
      <c r="T616" s="152" t="str">
        <f>+VLOOKUP($L616,Data_Validation!$A:$D,1,0)</f>
        <v>53A</v>
      </c>
      <c r="U616" s="152" t="str">
        <f>+VLOOKUP($L616,Data_Validation!$A:$D,3,0)</f>
        <v>Véhicules neufs</v>
      </c>
      <c r="V616" s="152" t="str">
        <f>+VLOOKUP($L616,Data_Validation!$A:$D,4,0)</f>
        <v>Frais véhicules de cie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1703</v>
      </c>
      <c r="B617" s="662" t="s">
        <v>918</v>
      </c>
      <c r="C617" s="663">
        <v>82348.479999999996</v>
      </c>
      <c r="D617" s="663">
        <v>6229.35</v>
      </c>
      <c r="E617" s="663">
        <v>88577.83</v>
      </c>
      <c r="F617" s="662" t="s">
        <v>2228</v>
      </c>
      <c r="G617" s="662" t="s">
        <v>2276</v>
      </c>
      <c r="H617" s="657" t="s">
        <v>2997</v>
      </c>
      <c r="I617" s="656"/>
      <c r="J617" s="656"/>
      <c r="K617" s="656"/>
      <c r="L617" s="149" t="str">
        <f t="shared" si="45"/>
        <v>24A</v>
      </c>
      <c r="M617" s="150" t="str">
        <f t="shared" si="46"/>
        <v>SAL. ABSENCE - NEUF BMW</v>
      </c>
      <c r="N617" s="151">
        <f>+IF(OR($Q617=Parametres!$G$2,$Q617=Parametres!$G$3),I617,C617)</f>
        <v>82348.479999999996</v>
      </c>
      <c r="O617" s="151">
        <f>+IF(OR($Q617=Parametres!$G$2,$Q617=Parametres!$G$3),J617,D617)</f>
        <v>6229.35</v>
      </c>
      <c r="P617" s="151">
        <f>+IF(OR($Q617=Parametres!$G$2,$Q617=Parametres!$G$3),K617,E617)</f>
        <v>88577.83</v>
      </c>
      <c r="Q617" s="150" t="str">
        <f t="shared" si="47"/>
        <v>7-Dépenses</v>
      </c>
      <c r="R617" s="149" t="str">
        <f t="shared" si="48"/>
        <v>24</v>
      </c>
      <c r="S617" s="150" t="str">
        <f t="shared" si="49"/>
        <v>_</v>
      </c>
      <c r="T617" s="152" t="str">
        <f>+VLOOKUP($L617,Data_Validation!$A:$D,1,0)</f>
        <v>24A</v>
      </c>
      <c r="U617" s="152" t="str">
        <f>+VLOOKUP($L617,Data_Validation!$A:$D,3,0)</f>
        <v>Véhicules neufs</v>
      </c>
      <c r="V617" s="152" t="str">
        <f>+VLOOKUP($L617,Data_Validation!$A:$D,4,0)</f>
        <v>Salaires en absences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1787</v>
      </c>
      <c r="B618" s="662" t="s">
        <v>939</v>
      </c>
      <c r="C618" s="663">
        <v>92952.11</v>
      </c>
      <c r="D618" s="663">
        <v>9362.27</v>
      </c>
      <c r="E618" s="663">
        <v>102314.38</v>
      </c>
      <c r="F618" s="662" t="s">
        <v>2228</v>
      </c>
      <c r="G618" s="662" t="s">
        <v>2297</v>
      </c>
      <c r="H618" s="657" t="s">
        <v>2997</v>
      </c>
      <c r="I618" s="656"/>
      <c r="J618" s="656"/>
      <c r="K618" s="656"/>
      <c r="L618" s="149" t="str">
        <f t="shared" si="45"/>
        <v>11C</v>
      </c>
      <c r="M618" s="150" t="str">
        <f t="shared" si="46"/>
        <v>COMM. VENDEURS - USAGE BMW</v>
      </c>
      <c r="N618" s="151">
        <f>+IF(OR($Q618=Parametres!$G$2,$Q618=Parametres!$G$3),I618,C618)</f>
        <v>92952.11</v>
      </c>
      <c r="O618" s="151">
        <f>+IF(OR($Q618=Parametres!$G$2,$Q618=Parametres!$G$3),J618,D618)</f>
        <v>9362.27</v>
      </c>
      <c r="P618" s="151">
        <f>+IF(OR($Q618=Parametres!$G$2,$Q618=Parametres!$G$3),K618,E618)</f>
        <v>102314.38</v>
      </c>
      <c r="Q618" s="150" t="str">
        <f t="shared" si="47"/>
        <v>7-Dépenses</v>
      </c>
      <c r="R618" s="149" t="str">
        <f t="shared" si="48"/>
        <v>11</v>
      </c>
      <c r="S618" s="150" t="str">
        <f t="shared" si="49"/>
        <v>_</v>
      </c>
      <c r="T618" s="152" t="str">
        <f>+VLOOKUP($L618,Data_Validation!$A:$D,1,0)</f>
        <v>11C</v>
      </c>
      <c r="U618" s="152" t="str">
        <f>+VLOOKUP($L618,Data_Validation!$A:$D,3,0)</f>
        <v>Véhicules usagés</v>
      </c>
      <c r="V618" s="152" t="str">
        <f>+VLOOKUP($L618,Data_Validation!$A:$D,4,0)</f>
        <v>Comm. vendeurs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1791</v>
      </c>
      <c r="B619" s="662" t="s">
        <v>924</v>
      </c>
      <c r="C619" s="663">
        <v>93809.32</v>
      </c>
      <c r="D619" s="663">
        <v>8809.68</v>
      </c>
      <c r="E619" s="663">
        <v>102619</v>
      </c>
      <c r="F619" s="662" t="s">
        <v>2228</v>
      </c>
      <c r="G619" s="662" t="s">
        <v>2286</v>
      </c>
      <c r="H619" s="657" t="s">
        <v>2997</v>
      </c>
      <c r="I619" s="656"/>
      <c r="J619" s="656"/>
      <c r="K619" s="656"/>
      <c r="L619" s="149" t="str">
        <f t="shared" si="45"/>
        <v>22A</v>
      </c>
      <c r="M619" s="150" t="str">
        <f t="shared" si="46"/>
        <v>SAL. ADMIN. - NEUF BMW</v>
      </c>
      <c r="N619" s="151">
        <f>+IF(OR($Q619=Parametres!$G$2,$Q619=Parametres!$G$3),I619,C619)</f>
        <v>93809.32</v>
      </c>
      <c r="O619" s="151">
        <f>+IF(OR($Q619=Parametres!$G$2,$Q619=Parametres!$G$3),J619,D619)</f>
        <v>8809.68</v>
      </c>
      <c r="P619" s="151">
        <f>+IF(OR($Q619=Parametres!$G$2,$Q619=Parametres!$G$3),K619,E619)</f>
        <v>102619</v>
      </c>
      <c r="Q619" s="150" t="str">
        <f t="shared" si="47"/>
        <v>7-Dépenses</v>
      </c>
      <c r="R619" s="149" t="str">
        <f t="shared" si="48"/>
        <v>22</v>
      </c>
      <c r="S619" s="150" t="str">
        <f t="shared" si="49"/>
        <v>_</v>
      </c>
      <c r="T619" s="152" t="str">
        <f>+VLOOKUP($L619,Data_Validation!$A:$D,1,0)</f>
        <v>22A</v>
      </c>
      <c r="U619" s="152" t="str">
        <f>+VLOOKUP($L619,Data_Validation!$A:$D,3,0)</f>
        <v>Véhicules neufs</v>
      </c>
      <c r="V619" s="152" t="str">
        <f>+VLOOKUP($L619,Data_Validation!$A:$D,4,0)</f>
        <v>Salaires commis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1793</v>
      </c>
      <c r="B620" s="662" t="s">
        <v>951</v>
      </c>
      <c r="C620" s="663">
        <v>97208.07</v>
      </c>
      <c r="D620" s="663">
        <v>2828.19</v>
      </c>
      <c r="E620" s="663">
        <v>100036.26</v>
      </c>
      <c r="F620" s="662" t="s">
        <v>2228</v>
      </c>
      <c r="G620" s="662" t="s">
        <v>2279</v>
      </c>
      <c r="H620" s="657" t="s">
        <v>2997</v>
      </c>
      <c r="I620" s="656"/>
      <c r="J620" s="656"/>
      <c r="K620" s="656"/>
      <c r="L620" s="149" t="str">
        <f t="shared" si="45"/>
        <v>25A</v>
      </c>
      <c r="M620" s="150" t="str">
        <f t="shared" si="46"/>
        <v>TAXES PAYE - NEUF BMW</v>
      </c>
      <c r="N620" s="151">
        <f>+IF(OR($Q620=Parametres!$G$2,$Q620=Parametres!$G$3),I620,C620)</f>
        <v>97208.07</v>
      </c>
      <c r="O620" s="151">
        <f>+IF(OR($Q620=Parametres!$G$2,$Q620=Parametres!$G$3),J620,D620)</f>
        <v>2828.19</v>
      </c>
      <c r="P620" s="151">
        <f>+IF(OR($Q620=Parametres!$G$2,$Q620=Parametres!$G$3),K620,E620)</f>
        <v>100036.26</v>
      </c>
      <c r="Q620" s="150" t="str">
        <f t="shared" si="47"/>
        <v>7-Dépenses</v>
      </c>
      <c r="R620" s="149" t="str">
        <f t="shared" si="48"/>
        <v>25</v>
      </c>
      <c r="S620" s="150" t="str">
        <f t="shared" si="49"/>
        <v>_</v>
      </c>
      <c r="T620" s="152" t="str">
        <f>+VLOOKUP($L620,Data_Validation!$A:$D,1,0)</f>
        <v>25A</v>
      </c>
      <c r="U620" s="152" t="str">
        <f>+VLOOKUP($L620,Data_Validation!$A:$D,3,0)</f>
        <v>Véhicules neufs</v>
      </c>
      <c r="V620" s="152" t="str">
        <f>+VLOOKUP($L620,Data_Validation!$A:$D,4,0)</f>
        <v>Déduction à la source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1742</v>
      </c>
      <c r="B621" s="662" t="s">
        <v>952</v>
      </c>
      <c r="C621" s="663">
        <v>98872.13</v>
      </c>
      <c r="D621" s="663">
        <v>5447.87</v>
      </c>
      <c r="E621" s="663">
        <v>104320</v>
      </c>
      <c r="F621" s="662" t="s">
        <v>2228</v>
      </c>
      <c r="G621" s="662" t="s">
        <v>2276</v>
      </c>
      <c r="H621" s="657" t="s">
        <v>2997</v>
      </c>
      <c r="I621" s="656"/>
      <c r="J621" s="656"/>
      <c r="K621" s="656"/>
      <c r="L621" s="149" t="str">
        <f t="shared" si="45"/>
        <v>24E</v>
      </c>
      <c r="M621" s="150" t="str">
        <f t="shared" si="46"/>
        <v>SAL. ABSENCE - SERV. BMW</v>
      </c>
      <c r="N621" s="151">
        <f>+IF(OR($Q621=Parametres!$G$2,$Q621=Parametres!$G$3),I621,C621)</f>
        <v>98872.13</v>
      </c>
      <c r="O621" s="151">
        <f>+IF(OR($Q621=Parametres!$G$2,$Q621=Parametres!$G$3),J621,D621)</f>
        <v>5447.87</v>
      </c>
      <c r="P621" s="151">
        <f>+IF(OR($Q621=Parametres!$G$2,$Q621=Parametres!$G$3),K621,E621)</f>
        <v>104320</v>
      </c>
      <c r="Q621" s="150" t="str">
        <f t="shared" si="47"/>
        <v>7-Dépenses</v>
      </c>
      <c r="R621" s="149" t="str">
        <f t="shared" si="48"/>
        <v>24</v>
      </c>
      <c r="S621" s="150" t="str">
        <f t="shared" si="49"/>
        <v>_</v>
      </c>
      <c r="T621" s="152" t="str">
        <f>+VLOOKUP($L621,Data_Validation!$A:$D,1,0)</f>
        <v>24E</v>
      </c>
      <c r="U621" s="152" t="str">
        <f>+VLOOKUP($L621,Data_Validation!$A:$D,3,0)</f>
        <v>Service</v>
      </c>
      <c r="V621" s="152" t="str">
        <f>+VLOOKUP($L621,Data_Validation!$A:$D,4,0)</f>
        <v>Salaires en absences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1816</v>
      </c>
      <c r="B622" s="662" t="s">
        <v>953</v>
      </c>
      <c r="C622" s="663">
        <v>100000</v>
      </c>
      <c r="D622" s="663">
        <v>10000</v>
      </c>
      <c r="E622" s="663">
        <v>110000</v>
      </c>
      <c r="F622" s="662" t="s">
        <v>2228</v>
      </c>
      <c r="G622" s="662" t="s">
        <v>2292</v>
      </c>
      <c r="H622" s="657" t="s">
        <v>2997</v>
      </c>
      <c r="I622" s="656"/>
      <c r="J622" s="656"/>
      <c r="K622" s="656"/>
      <c r="L622" s="149" t="str">
        <f t="shared" si="45"/>
        <v>80G</v>
      </c>
      <c r="M622" s="150" t="str">
        <f t="shared" si="46"/>
        <v>LOYER OU EQUIV. - PIECES BMW</v>
      </c>
      <c r="N622" s="151">
        <f>+IF(OR($Q622=Parametres!$G$2,$Q622=Parametres!$G$3),I622,C622)</f>
        <v>100000</v>
      </c>
      <c r="O622" s="151">
        <f>+IF(OR($Q622=Parametres!$G$2,$Q622=Parametres!$G$3),J622,D622)</f>
        <v>10000</v>
      </c>
      <c r="P622" s="151">
        <f>+IF(OR($Q622=Parametres!$G$2,$Q622=Parametres!$G$3),K622,E622)</f>
        <v>110000</v>
      </c>
      <c r="Q622" s="150" t="str">
        <f t="shared" si="47"/>
        <v>7-Dépenses</v>
      </c>
      <c r="R622" s="149" t="str">
        <f t="shared" si="48"/>
        <v>80</v>
      </c>
      <c r="S622" s="150" t="str">
        <f t="shared" si="49"/>
        <v>_</v>
      </c>
      <c r="T622" s="152" t="str">
        <f>+VLOOKUP($L622,Data_Validation!$A:$D,1,0)</f>
        <v>80G</v>
      </c>
      <c r="U622" s="152" t="str">
        <f>+VLOOKUP($L622,Data_Validation!$A:$D,3,0)</f>
        <v>pièces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1806</v>
      </c>
      <c r="B623" s="662" t="s">
        <v>950</v>
      </c>
      <c r="C623" s="663">
        <v>123558.23</v>
      </c>
      <c r="D623" s="663">
        <v>11911.66</v>
      </c>
      <c r="E623" s="663">
        <v>135469.89000000001</v>
      </c>
      <c r="F623" s="662" t="s">
        <v>2228</v>
      </c>
      <c r="G623" s="662" t="s">
        <v>2287</v>
      </c>
      <c r="H623" s="657" t="s">
        <v>2997</v>
      </c>
      <c r="I623" s="656"/>
      <c r="J623" s="656"/>
      <c r="K623" s="656"/>
      <c r="L623" s="149" t="str">
        <f t="shared" si="45"/>
        <v>21E</v>
      </c>
      <c r="M623" s="150" t="str">
        <f t="shared" si="46"/>
        <v>SAL. SUPERVISION - SERV. BMW</v>
      </c>
      <c r="N623" s="151">
        <f>+IF(OR($Q623=Parametres!$G$2,$Q623=Parametres!$G$3),I623,C623)</f>
        <v>123558.23</v>
      </c>
      <c r="O623" s="151">
        <f>+IF(OR($Q623=Parametres!$G$2,$Q623=Parametres!$G$3),J623,D623)</f>
        <v>11911.66</v>
      </c>
      <c r="P623" s="151">
        <f>+IF(OR($Q623=Parametres!$G$2,$Q623=Parametres!$G$3),K623,E623)</f>
        <v>135469.89000000001</v>
      </c>
      <c r="Q623" s="150" t="str">
        <f t="shared" si="47"/>
        <v>7-Dépenses</v>
      </c>
      <c r="R623" s="149" t="str">
        <f t="shared" si="48"/>
        <v>21</v>
      </c>
      <c r="S623" s="150" t="str">
        <f t="shared" si="49"/>
        <v>_</v>
      </c>
      <c r="T623" s="152" t="str">
        <f>+VLOOKUP($L623,Data_Validation!$A:$D,1,0)</f>
        <v>21E</v>
      </c>
      <c r="U623" s="152" t="str">
        <f>+VLOOKUP($L623,Data_Validation!$A:$D,3,0)</f>
        <v>Service</v>
      </c>
      <c r="V623" s="152" t="str">
        <f>+VLOOKUP($L623,Data_Validation!$A:$D,4,0)</f>
        <v>Salaires cadres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1818</v>
      </c>
      <c r="B624" s="662" t="s">
        <v>958</v>
      </c>
      <c r="C624" s="663">
        <v>125000</v>
      </c>
      <c r="D624" s="663">
        <v>12500</v>
      </c>
      <c r="E624" s="663">
        <v>137500</v>
      </c>
      <c r="F624" s="662" t="s">
        <v>2228</v>
      </c>
      <c r="G624" s="662" t="s">
        <v>2292</v>
      </c>
      <c r="H624" s="657" t="s">
        <v>2997</v>
      </c>
      <c r="I624" s="656"/>
      <c r="J624" s="656"/>
      <c r="K624" s="656"/>
      <c r="L624" s="149" t="str">
        <f t="shared" si="45"/>
        <v>80E</v>
      </c>
      <c r="M624" s="150" t="str">
        <f t="shared" si="46"/>
        <v>LOYER OU EQUIV. - SERV. BMW</v>
      </c>
      <c r="N624" s="151">
        <f>+IF(OR($Q624=Parametres!$G$2,$Q624=Parametres!$G$3),I624,C624)</f>
        <v>125000</v>
      </c>
      <c r="O624" s="151">
        <f>+IF(OR($Q624=Parametres!$G$2,$Q624=Parametres!$G$3),J624,D624)</f>
        <v>12500</v>
      </c>
      <c r="P624" s="151">
        <f>+IF(OR($Q624=Parametres!$G$2,$Q624=Parametres!$G$3),K624,E624)</f>
        <v>137500</v>
      </c>
      <c r="Q624" s="150" t="str">
        <f t="shared" si="47"/>
        <v>7-Dépenses</v>
      </c>
      <c r="R624" s="149" t="str">
        <f t="shared" si="48"/>
        <v>80</v>
      </c>
      <c r="S624" s="150" t="str">
        <f t="shared" si="49"/>
        <v>_</v>
      </c>
      <c r="T624" s="152" t="str">
        <f>+VLOOKUP($L624,Data_Validation!$A:$D,1,0)</f>
        <v>80E</v>
      </c>
      <c r="U624" s="152" t="str">
        <f>+VLOOKUP($L624,Data_Validation!$A:$D,3,0)</f>
        <v>Service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1824</v>
      </c>
      <c r="B625" s="662" t="s">
        <v>961</v>
      </c>
      <c r="C625" s="663">
        <v>129329.86</v>
      </c>
      <c r="D625" s="663">
        <v>10612.95</v>
      </c>
      <c r="E625" s="663">
        <v>139942.81</v>
      </c>
      <c r="F625" s="662" t="s">
        <v>2228</v>
      </c>
      <c r="G625" s="662" t="s">
        <v>2287</v>
      </c>
      <c r="H625" s="657" t="s">
        <v>2997</v>
      </c>
      <c r="I625" s="656"/>
      <c r="J625" s="656"/>
      <c r="K625" s="656"/>
      <c r="L625" s="149" t="str">
        <f t="shared" si="45"/>
        <v>21A</v>
      </c>
      <c r="M625" s="150" t="str">
        <f t="shared" si="46"/>
        <v>SAL. SUPERVISION - NEUF BMW</v>
      </c>
      <c r="N625" s="151">
        <f>+IF(OR($Q625=Parametres!$G$2,$Q625=Parametres!$G$3),I625,C625)</f>
        <v>129329.86</v>
      </c>
      <c r="O625" s="151">
        <f>+IF(OR($Q625=Parametres!$G$2,$Q625=Parametres!$G$3),J625,D625)</f>
        <v>10612.95</v>
      </c>
      <c r="P625" s="151">
        <f>+IF(OR($Q625=Parametres!$G$2,$Q625=Parametres!$G$3),K625,E625)</f>
        <v>139942.81</v>
      </c>
      <c r="Q625" s="150" t="str">
        <f t="shared" si="47"/>
        <v>7-Dépenses</v>
      </c>
      <c r="R625" s="149" t="str">
        <f t="shared" si="48"/>
        <v>21</v>
      </c>
      <c r="S625" s="150" t="str">
        <f t="shared" si="49"/>
        <v>_</v>
      </c>
      <c r="T625" s="152" t="str">
        <f>+VLOOKUP($L625,Data_Validation!$A:$D,1,0)</f>
        <v>21A</v>
      </c>
      <c r="U625" s="152" t="str">
        <f>+VLOOKUP($L625,Data_Validation!$A:$D,3,0)</f>
        <v>Véhicules neufs</v>
      </c>
      <c r="V625" s="152" t="str">
        <f>+VLOOKUP($L625,Data_Validation!$A:$D,4,0)</f>
        <v>Salaires cadres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1778</v>
      </c>
      <c r="B626" s="662" t="s">
        <v>932</v>
      </c>
      <c r="C626" s="663">
        <v>130505.8</v>
      </c>
      <c r="D626" s="663">
        <v>6079.87</v>
      </c>
      <c r="E626" s="663">
        <v>136585.67000000001</v>
      </c>
      <c r="F626" s="662" t="s">
        <v>2228</v>
      </c>
      <c r="G626" s="662" t="s">
        <v>2296</v>
      </c>
      <c r="H626" s="657" t="s">
        <v>2997</v>
      </c>
      <c r="I626" s="656"/>
      <c r="J626" s="656"/>
      <c r="K626" s="656"/>
      <c r="L626" s="149" t="str">
        <f t="shared" si="45"/>
        <v>12A</v>
      </c>
      <c r="M626" s="150" t="str">
        <f t="shared" si="46"/>
        <v>COMM. F&amp;I - NEUF BMW</v>
      </c>
      <c r="N626" s="151">
        <f>+IF(OR($Q626=Parametres!$G$2,$Q626=Parametres!$G$3),I626,C626)</f>
        <v>130505.8</v>
      </c>
      <c r="O626" s="151">
        <f>+IF(OR($Q626=Parametres!$G$2,$Q626=Parametres!$G$3),J626,D626)</f>
        <v>6079.87</v>
      </c>
      <c r="P626" s="151">
        <f>+IF(OR($Q626=Parametres!$G$2,$Q626=Parametres!$G$3),K626,E626)</f>
        <v>136585.67000000001</v>
      </c>
      <c r="Q626" s="150" t="str">
        <f t="shared" si="47"/>
        <v>7-Dépenses</v>
      </c>
      <c r="R626" s="149" t="str">
        <f t="shared" si="48"/>
        <v>12</v>
      </c>
      <c r="S626" s="150" t="str">
        <f t="shared" si="49"/>
        <v>_</v>
      </c>
      <c r="T626" s="152" t="str">
        <f>+VLOOKUP($L626,Data_Validation!$A:$D,1,0)</f>
        <v>12A</v>
      </c>
      <c r="U626" s="152" t="str">
        <f>+VLOOKUP($L626,Data_Validation!$A:$D,3,0)</f>
        <v>Véhicules neufs</v>
      </c>
      <c r="V626" s="152" t="str">
        <f>+VLOOKUP($L626,Data_Validation!$A:$D,4,0)</f>
        <v>Comm. F&amp;I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1757</v>
      </c>
      <c r="B627" s="662" t="s">
        <v>947</v>
      </c>
      <c r="C627" s="663">
        <v>133379.96</v>
      </c>
      <c r="D627" s="663">
        <v>10133.31</v>
      </c>
      <c r="E627" s="663">
        <v>143513.26999999999</v>
      </c>
      <c r="F627" s="662" t="s">
        <v>2228</v>
      </c>
      <c r="G627" s="662" t="s">
        <v>2279</v>
      </c>
      <c r="H627" s="657" t="s">
        <v>2997</v>
      </c>
      <c r="I627" s="656"/>
      <c r="J627" s="656"/>
      <c r="K627" s="656"/>
      <c r="L627" s="149" t="str">
        <f t="shared" si="45"/>
        <v>25E</v>
      </c>
      <c r="M627" s="150" t="str">
        <f t="shared" si="46"/>
        <v>TAXES PAYE - SERV. BMW</v>
      </c>
      <c r="N627" s="151">
        <f>+IF(OR($Q627=Parametres!$G$2,$Q627=Parametres!$G$3),I627,C627)</f>
        <v>133379.96</v>
      </c>
      <c r="O627" s="151">
        <f>+IF(OR($Q627=Parametres!$G$2,$Q627=Parametres!$G$3),J627,D627)</f>
        <v>10133.31</v>
      </c>
      <c r="P627" s="151">
        <f>+IF(OR($Q627=Parametres!$G$2,$Q627=Parametres!$G$3),K627,E627)</f>
        <v>143513.26999999999</v>
      </c>
      <c r="Q627" s="150" t="str">
        <f t="shared" si="47"/>
        <v>7-Dépenses</v>
      </c>
      <c r="R627" s="149" t="str">
        <f t="shared" si="48"/>
        <v>25</v>
      </c>
      <c r="S627" s="150" t="str">
        <f t="shared" si="49"/>
        <v>_</v>
      </c>
      <c r="T627" s="152" t="str">
        <f>+VLOOKUP($L627,Data_Validation!$A:$D,1,0)</f>
        <v>25E</v>
      </c>
      <c r="U627" s="152" t="str">
        <f>+VLOOKUP($L627,Data_Validation!$A:$D,3,0)</f>
        <v>Service</v>
      </c>
      <c r="V627" s="152" t="str">
        <f>+VLOOKUP($L627,Data_Validation!$A:$D,4,0)</f>
        <v>Déduction à la source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1740</v>
      </c>
      <c r="B628" s="662" t="s">
        <v>962</v>
      </c>
      <c r="C628" s="663">
        <v>136168.01999999999</v>
      </c>
      <c r="D628" s="663">
        <v>21041.61</v>
      </c>
      <c r="E628" s="663">
        <v>157209.63</v>
      </c>
      <c r="F628" s="662" t="s">
        <v>2228</v>
      </c>
      <c r="G628" s="662" t="s">
        <v>2268</v>
      </c>
      <c r="H628" s="657" t="s">
        <v>2997</v>
      </c>
      <c r="I628" s="656"/>
      <c r="J628" s="656"/>
      <c r="K628" s="656"/>
      <c r="L628" s="149" t="str">
        <f t="shared" si="45"/>
        <v>23G</v>
      </c>
      <c r="M628" s="150" t="str">
        <f t="shared" si="46"/>
        <v>SAL. AUTRES - PIECE BMW</v>
      </c>
      <c r="N628" s="151">
        <f>+IF(OR($Q628=Parametres!$G$2,$Q628=Parametres!$G$3),I628,C628)</f>
        <v>136168.01999999999</v>
      </c>
      <c r="O628" s="151">
        <f>+IF(OR($Q628=Parametres!$G$2,$Q628=Parametres!$G$3),J628,D628)</f>
        <v>21041.61</v>
      </c>
      <c r="P628" s="151">
        <f>+IF(OR($Q628=Parametres!$G$2,$Q628=Parametres!$G$3),K628,E628)</f>
        <v>157209.63</v>
      </c>
      <c r="Q628" s="150" t="str">
        <f t="shared" si="47"/>
        <v>7-Dépenses</v>
      </c>
      <c r="R628" s="149" t="str">
        <f t="shared" si="48"/>
        <v>23</v>
      </c>
      <c r="S628" s="150" t="str">
        <f t="shared" si="49"/>
        <v>_</v>
      </c>
      <c r="T628" s="152" t="str">
        <f>+VLOOKUP($L628,Data_Validation!$A:$D,1,0)</f>
        <v>23G</v>
      </c>
      <c r="U628" s="152" t="str">
        <f>+VLOOKUP($L628,Data_Validation!$A:$D,3,0)</f>
        <v>Pièces</v>
      </c>
      <c r="V628" s="152" t="str">
        <f>+VLOOKUP($L628,Data_Validation!$A:$D,4,0)</f>
        <v>salaires autres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1781</v>
      </c>
      <c r="B629" s="662" t="s">
        <v>955</v>
      </c>
      <c r="C629" s="663">
        <v>143894.04</v>
      </c>
      <c r="D629" s="663">
        <v>18518</v>
      </c>
      <c r="E629" s="663">
        <v>162412.04</v>
      </c>
      <c r="F629" s="662" t="s">
        <v>2228</v>
      </c>
      <c r="G629" s="662" t="s">
        <v>2294</v>
      </c>
      <c r="H629" s="657" t="s">
        <v>2997</v>
      </c>
      <c r="I629" s="656"/>
      <c r="J629" s="656"/>
      <c r="K629" s="656"/>
      <c r="L629" s="149" t="str">
        <f t="shared" si="45"/>
        <v>26E</v>
      </c>
      <c r="M629" s="150" t="str">
        <f t="shared" si="46"/>
        <v>SAL. SPECIALISTES - SERV. BMW</v>
      </c>
      <c r="N629" s="151">
        <f>+IF(OR($Q629=Parametres!$G$2,$Q629=Parametres!$G$3),I629,C629)</f>
        <v>143894.04</v>
      </c>
      <c r="O629" s="151">
        <f>+IF(OR($Q629=Parametres!$G$2,$Q629=Parametres!$G$3),J629,D629)</f>
        <v>18518</v>
      </c>
      <c r="P629" s="151">
        <f>+IF(OR($Q629=Parametres!$G$2,$Q629=Parametres!$G$3),K629,E629)</f>
        <v>162412.04</v>
      </c>
      <c r="Q629" s="150" t="str">
        <f t="shared" si="47"/>
        <v>7-Dépenses</v>
      </c>
      <c r="R629" s="149" t="str">
        <f t="shared" si="48"/>
        <v>26</v>
      </c>
      <c r="S629" s="150" t="str">
        <f t="shared" si="49"/>
        <v>_</v>
      </c>
      <c r="T629" s="152" t="str">
        <f>+VLOOKUP($L629,Data_Validation!$A:$D,1,0)</f>
        <v>26E</v>
      </c>
      <c r="U629" s="152" t="str">
        <f>+VLOOKUP($L629,Data_Validation!$A:$D,3,0)</f>
        <v>Service</v>
      </c>
      <c r="V629" s="152" t="str">
        <f>+VLOOKUP($L629,Data_Validation!$A:$D,4,0)</f>
        <v>Salaires spécialistes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1134</v>
      </c>
      <c r="B630" s="662" t="s">
        <v>892</v>
      </c>
      <c r="C630" s="663">
        <v>160368.59</v>
      </c>
      <c r="D630" s="663">
        <v>12938.2</v>
      </c>
      <c r="E630" s="663">
        <v>173306.79</v>
      </c>
      <c r="F630" s="662" t="s">
        <v>2228</v>
      </c>
      <c r="G630" s="662" t="s">
        <v>2267</v>
      </c>
      <c r="H630" s="657" t="s">
        <v>2997</v>
      </c>
      <c r="I630" s="656"/>
      <c r="J630" s="656"/>
      <c r="K630" s="656"/>
      <c r="L630" s="149" t="str">
        <f t="shared" si="45"/>
        <v>16A</v>
      </c>
      <c r="M630" s="150" t="str">
        <f t="shared" si="46"/>
        <v>PUBLICITE - NEUF BMW</v>
      </c>
      <c r="N630" s="151">
        <f>+IF(OR($Q630=Parametres!$G$2,$Q630=Parametres!$G$3),I630,C630)</f>
        <v>160368.59</v>
      </c>
      <c r="O630" s="151">
        <f>+IF(OR($Q630=Parametres!$G$2,$Q630=Parametres!$G$3),J630,D630)</f>
        <v>12938.2</v>
      </c>
      <c r="P630" s="151">
        <f>+IF(OR($Q630=Parametres!$G$2,$Q630=Parametres!$G$3),K630,E630)</f>
        <v>173306.79</v>
      </c>
      <c r="Q630" s="150" t="str">
        <f t="shared" si="47"/>
        <v>7-Dépenses</v>
      </c>
      <c r="R630" s="149" t="str">
        <f t="shared" si="48"/>
        <v>16</v>
      </c>
      <c r="S630" s="150" t="str">
        <f t="shared" si="49"/>
        <v>_</v>
      </c>
      <c r="T630" s="152" t="str">
        <f>+VLOOKUP($L630,Data_Validation!$A:$D,1,0)</f>
        <v>16A</v>
      </c>
      <c r="U630" s="152" t="str">
        <f>+VLOOKUP($L630,Data_Validation!$A:$D,3,0)</f>
        <v>Véhicules neufs</v>
      </c>
      <c r="V630" s="152" t="str">
        <f>+VLOOKUP($L630,Data_Validation!$A:$D,4,0)</f>
        <v>Publicité 1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2427</v>
      </c>
      <c r="B631" s="662" t="s">
        <v>2429</v>
      </c>
      <c r="C631" s="663">
        <v>214292.02</v>
      </c>
      <c r="D631" s="663">
        <v>14235.25</v>
      </c>
      <c r="E631" s="663">
        <v>228527.27</v>
      </c>
      <c r="F631" s="662" t="s">
        <v>2228</v>
      </c>
      <c r="G631" s="662" t="s">
        <v>2429</v>
      </c>
      <c r="H631" s="657" t="s">
        <v>2997</v>
      </c>
      <c r="I631" s="656"/>
      <c r="J631" s="656"/>
      <c r="K631" s="656"/>
      <c r="L631" s="149" t="str">
        <f t="shared" si="45"/>
        <v>99</v>
      </c>
      <c r="M631" s="150" t="str">
        <f t="shared" si="46"/>
        <v>IMPOTS SUR LE REVENU</v>
      </c>
      <c r="N631" s="151">
        <f>+IF(OR($Q631=Parametres!$G$2,$Q631=Parametres!$G$3),I631,C631)</f>
        <v>214292.02</v>
      </c>
      <c r="O631" s="151">
        <f>+IF(OR($Q631=Parametres!$G$2,$Q631=Parametres!$G$3),J631,D631)</f>
        <v>14235.25</v>
      </c>
      <c r="P631" s="151">
        <f>+IF(OR($Q631=Parametres!$G$2,$Q631=Parametres!$G$3),K631,E631)</f>
        <v>228527.27</v>
      </c>
      <c r="Q631" s="150" t="str">
        <f t="shared" si="47"/>
        <v>7-Dépenses</v>
      </c>
      <c r="R631" s="149" t="str">
        <f t="shared" si="48"/>
        <v>99</v>
      </c>
      <c r="S631" s="150" t="str">
        <f t="shared" si="49"/>
        <v>_</v>
      </c>
      <c r="T631" s="152" t="str">
        <f>+VLOOKUP($L631,Data_Validation!$A:$D,1,0)</f>
        <v>99</v>
      </c>
      <c r="U631" s="152" t="str">
        <f>+VLOOKUP($L631,Data_Validation!$A:$D,3,0)</f>
        <v>TOTAL  DES  REVENUS  ET  DÉPENSES</v>
      </c>
      <c r="V631" s="152" t="str">
        <f>+VLOOKUP($L631,Data_Validation!$A:$D,4,0)</f>
        <v>Impôt exigible</v>
      </c>
      <c r="W631" s="152">
        <f>+VLOOKUP($L631,Data_Validation!$A:$E,5,0)</f>
        <v>0</v>
      </c>
      <c r="X631" s="152">
        <f>+VLOOKUP($L631,Data_Validation!$A:$F,6,0)</f>
        <v>0</v>
      </c>
    </row>
    <row r="632" spans="1:24" ht="15" customHeight="1">
      <c r="A632" s="662" t="s">
        <v>1830</v>
      </c>
      <c r="B632" s="662" t="s">
        <v>968</v>
      </c>
      <c r="C632" s="663">
        <v>225000</v>
      </c>
      <c r="D632" s="663">
        <v>22500</v>
      </c>
      <c r="E632" s="663">
        <v>247500</v>
      </c>
      <c r="F632" s="662" t="s">
        <v>2228</v>
      </c>
      <c r="G632" s="662" t="s">
        <v>2292</v>
      </c>
      <c r="H632" s="657" t="s">
        <v>2997</v>
      </c>
      <c r="I632" s="656"/>
      <c r="J632" s="656"/>
      <c r="K632" s="656"/>
      <c r="L632" s="149" t="str">
        <f t="shared" si="45"/>
        <v>80A</v>
      </c>
      <c r="M632" s="150" t="str">
        <f t="shared" si="46"/>
        <v>LOYER OU EQUIV. - NEUF BMW</v>
      </c>
      <c r="N632" s="151">
        <f>+IF(OR($Q632=Parametres!$G$2,$Q632=Parametres!$G$3),I632,C632)</f>
        <v>225000</v>
      </c>
      <c r="O632" s="151">
        <f>+IF(OR($Q632=Parametres!$G$2,$Q632=Parametres!$G$3),J632,D632)</f>
        <v>22500</v>
      </c>
      <c r="P632" s="151">
        <f>+IF(OR($Q632=Parametres!$G$2,$Q632=Parametres!$G$3),K632,E632)</f>
        <v>247500</v>
      </c>
      <c r="Q632" s="150" t="str">
        <f t="shared" si="47"/>
        <v>7-Dépenses</v>
      </c>
      <c r="R632" s="149" t="str">
        <f t="shared" si="48"/>
        <v>80</v>
      </c>
      <c r="S632" s="150" t="str">
        <f t="shared" si="49"/>
        <v>_</v>
      </c>
      <c r="T632" s="152" t="str">
        <f>+VLOOKUP($L632,Data_Validation!$A:$D,1,0)</f>
        <v>80A</v>
      </c>
      <c r="U632" s="152" t="str">
        <f>+VLOOKUP($L632,Data_Validation!$A:$D,3,0)</f>
        <v>Véhicules neufs</v>
      </c>
      <c r="V632" s="152" t="str">
        <f>+VLOOKUP($L632,Data_Validation!$A:$D,4,0)</f>
        <v>loyer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1819</v>
      </c>
      <c r="B633" s="662" t="s">
        <v>941</v>
      </c>
      <c r="C633" s="663">
        <v>233456.19</v>
      </c>
      <c r="D633" s="663">
        <v>22718.32</v>
      </c>
      <c r="E633" s="663">
        <v>256174.51</v>
      </c>
      <c r="F633" s="662" t="s">
        <v>2228</v>
      </c>
      <c r="G633" s="662" t="s">
        <v>2290</v>
      </c>
      <c r="H633" s="657" t="s">
        <v>2997</v>
      </c>
      <c r="I633" s="656"/>
      <c r="J633" s="656"/>
      <c r="K633" s="656"/>
      <c r="L633" s="149" t="str">
        <f t="shared" si="45"/>
        <v>18A</v>
      </c>
      <c r="M633" s="150" t="str">
        <f t="shared" si="46"/>
        <v>INT. FLOOR PLAN - NEUF BMW</v>
      </c>
      <c r="N633" s="151">
        <f>+IF(OR($Q633=Parametres!$G$2,$Q633=Parametres!$G$3),I633,C633)</f>
        <v>233456.19</v>
      </c>
      <c r="O633" s="151">
        <f>+IF(OR($Q633=Parametres!$G$2,$Q633=Parametres!$G$3),J633,D633)</f>
        <v>22718.32</v>
      </c>
      <c r="P633" s="151">
        <f>+IF(OR($Q633=Parametres!$G$2,$Q633=Parametres!$G$3),K633,E633)</f>
        <v>256174.51</v>
      </c>
      <c r="Q633" s="150" t="str">
        <f t="shared" si="47"/>
        <v>7-Dépenses</v>
      </c>
      <c r="R633" s="149" t="str">
        <f t="shared" si="48"/>
        <v>18</v>
      </c>
      <c r="S633" s="150" t="str">
        <f t="shared" si="49"/>
        <v>_</v>
      </c>
      <c r="T633" s="152" t="str">
        <f>+VLOOKUP($L633,Data_Validation!$A:$D,1,0)</f>
        <v>18A</v>
      </c>
      <c r="U633" s="152" t="str">
        <f>+VLOOKUP($L633,Data_Validation!$A:$D,3,0)</f>
        <v>Véhicules neufs</v>
      </c>
      <c r="V633" s="152" t="str">
        <f>+VLOOKUP($L633,Data_Validation!$A:$D,4,0)</f>
        <v>Intérêt de gros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1820</v>
      </c>
      <c r="B634" s="662" t="s">
        <v>963</v>
      </c>
      <c r="C634" s="663">
        <v>234864.51</v>
      </c>
      <c r="D634" s="663">
        <v>13619.18</v>
      </c>
      <c r="E634" s="663">
        <v>248483.69</v>
      </c>
      <c r="F634" s="662" t="s">
        <v>2228</v>
      </c>
      <c r="G634" s="662" t="s">
        <v>2297</v>
      </c>
      <c r="H634" s="657" t="s">
        <v>2997</v>
      </c>
      <c r="I634" s="656"/>
      <c r="J634" s="656"/>
      <c r="K634" s="656"/>
      <c r="L634" s="149" t="str">
        <f t="shared" si="45"/>
        <v>11A</v>
      </c>
      <c r="M634" s="150" t="str">
        <f t="shared" si="46"/>
        <v>COMM. VENDEURS - NEUF BMW</v>
      </c>
      <c r="N634" s="151">
        <f>+IF(OR($Q634=Parametres!$G$2,$Q634=Parametres!$G$3),I634,C634)</f>
        <v>234864.51</v>
      </c>
      <c r="O634" s="151">
        <f>+IF(OR($Q634=Parametres!$G$2,$Q634=Parametres!$G$3),J634,D634)</f>
        <v>13619.18</v>
      </c>
      <c r="P634" s="151">
        <f>+IF(OR($Q634=Parametres!$G$2,$Q634=Parametres!$G$3),K634,E634)</f>
        <v>248483.69</v>
      </c>
      <c r="Q634" s="150" t="str">
        <f t="shared" si="47"/>
        <v>7-Dépenses</v>
      </c>
      <c r="R634" s="149" t="str">
        <f t="shared" si="48"/>
        <v>11</v>
      </c>
      <c r="S634" s="150" t="str">
        <f t="shared" si="49"/>
        <v>_</v>
      </c>
      <c r="T634" s="152" t="str">
        <f>+VLOOKUP($L634,Data_Validation!$A:$D,1,0)</f>
        <v>11A</v>
      </c>
      <c r="U634" s="152" t="str">
        <f>+VLOOKUP($L634,Data_Validation!$A:$D,3,0)</f>
        <v>Véhicules neufs</v>
      </c>
      <c r="V634" s="152" t="str">
        <f>+VLOOKUP($L634,Data_Validation!$A:$D,4,0)</f>
        <v>Comm. vendeurs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1098</v>
      </c>
      <c r="B635" s="662" t="s">
        <v>428</v>
      </c>
      <c r="C635" s="663">
        <v>-368721.64</v>
      </c>
      <c r="D635" s="663">
        <v>-11409.6</v>
      </c>
      <c r="E635" s="663">
        <v>-380131.24</v>
      </c>
      <c r="F635" s="662" t="s">
        <v>2229</v>
      </c>
      <c r="G635" s="662" t="s">
        <v>428</v>
      </c>
      <c r="H635" s="657" t="s">
        <v>2997</v>
      </c>
      <c r="I635" s="656"/>
      <c r="J635" s="656"/>
      <c r="K635" s="656"/>
      <c r="L635" s="149" t="str">
        <f t="shared" si="45"/>
        <v>815</v>
      </c>
      <c r="M635" s="150" t="str">
        <f t="shared" si="46"/>
        <v>REVENU RBSC BMW</v>
      </c>
      <c r="N635" s="151">
        <f>+IF(OR($Q635=Parametres!$G$2,$Q635=Parametres!$G$3),I635,C635)</f>
        <v>-368721.64</v>
      </c>
      <c r="O635" s="151">
        <f>+IF(OR($Q635=Parametres!$G$2,$Q635=Parametres!$G$3),J635,D635)</f>
        <v>-11409.6</v>
      </c>
      <c r="P635" s="151">
        <f>+IF(OR($Q635=Parametres!$G$2,$Q635=Parametres!$G$3),K635,E635)</f>
        <v>-380131.24</v>
      </c>
      <c r="Q635" s="150" t="str">
        <f t="shared" si="47"/>
        <v>8-Autres revenus</v>
      </c>
      <c r="R635" s="149" t="str">
        <f t="shared" si="48"/>
        <v>815</v>
      </c>
      <c r="S635" s="150" t="str">
        <f t="shared" si="49"/>
        <v>_</v>
      </c>
      <c r="T635" s="152" t="str">
        <f>+VLOOKUP($L635,Data_Validation!$A:$D,1,0)</f>
        <v>815</v>
      </c>
      <c r="U635" s="152" t="str">
        <f>+VLOOKUP($L635,Data_Validation!$A:$D,3,0)</f>
        <v>Véhicules neufs</v>
      </c>
      <c r="V635" s="152" t="str">
        <f>+VLOOKUP($L635,Data_Validation!$A:$D,4,0)</f>
        <v>RBSC NEUF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1106</v>
      </c>
      <c r="B636" s="662" t="s">
        <v>433</v>
      </c>
      <c r="C636" s="663">
        <v>-225666.34</v>
      </c>
      <c r="D636" s="663">
        <v>-10040.799999999999</v>
      </c>
      <c r="E636" s="663">
        <v>-235707.14</v>
      </c>
      <c r="F636" s="662" t="s">
        <v>2229</v>
      </c>
      <c r="G636" s="662" t="s">
        <v>2298</v>
      </c>
      <c r="H636" s="657" t="s">
        <v>2997</v>
      </c>
      <c r="I636" s="656"/>
      <c r="J636" s="656"/>
      <c r="K636" s="656"/>
      <c r="L636" s="149" t="str">
        <f t="shared" si="45"/>
        <v>814A</v>
      </c>
      <c r="M636" s="150" t="str">
        <f t="shared" si="46"/>
        <v>MSP - BMW</v>
      </c>
      <c r="N636" s="151">
        <f>+IF(OR($Q636=Parametres!$G$2,$Q636=Parametres!$G$3),I636,C636)</f>
        <v>-225666.34</v>
      </c>
      <c r="O636" s="151">
        <f>+IF(OR($Q636=Parametres!$G$2,$Q636=Parametres!$G$3),J636,D636)</f>
        <v>-10040.799999999999</v>
      </c>
      <c r="P636" s="151">
        <f>+IF(OR($Q636=Parametres!$G$2,$Q636=Parametres!$G$3),K636,E636)</f>
        <v>-235707.14</v>
      </c>
      <c r="Q636" s="150" t="str">
        <f t="shared" si="47"/>
        <v>8-Autres revenus</v>
      </c>
      <c r="R636" s="149" t="str">
        <f t="shared" si="48"/>
        <v>814</v>
      </c>
      <c r="S636" s="150" t="str">
        <f t="shared" si="49"/>
        <v>_</v>
      </c>
      <c r="T636" s="152" t="str">
        <f>+VLOOKUP($L636,Data_Validation!$A:$D,1,0)</f>
        <v>814A</v>
      </c>
      <c r="U636" s="152" t="str">
        <f>+VLOOKUP($L636,Data_Validation!$A:$D,3,0)</f>
        <v>TOTAL  DES  REVENUS  ET  DÉPENSES</v>
      </c>
      <c r="V636" s="152" t="str">
        <f>+VLOOKUP($L636,Data_Validation!$A:$D,4,0)</f>
        <v>Facility Fund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1123</v>
      </c>
      <c r="B637" s="662" t="s">
        <v>440</v>
      </c>
      <c r="C637" s="663">
        <v>-135660</v>
      </c>
      <c r="D637" s="663">
        <v>-7140</v>
      </c>
      <c r="E637" s="663">
        <v>-142800</v>
      </c>
      <c r="F637" s="662" t="s">
        <v>2229</v>
      </c>
      <c r="G637" s="662" t="s">
        <v>2299</v>
      </c>
      <c r="H637" s="657" t="s">
        <v>2997</v>
      </c>
      <c r="I637" s="656"/>
      <c r="J637" s="656"/>
      <c r="K637" s="656"/>
      <c r="L637" s="149" t="str">
        <f t="shared" si="45"/>
        <v>806A</v>
      </c>
      <c r="M637" s="150" t="str">
        <f t="shared" si="46"/>
        <v>FRAIS D'ADMINISTRATION NEUF</v>
      </c>
      <c r="N637" s="151">
        <f>+IF(OR($Q637=Parametres!$G$2,$Q637=Parametres!$G$3),I637,C637)</f>
        <v>-135660</v>
      </c>
      <c r="O637" s="151">
        <f>+IF(OR($Q637=Parametres!$G$2,$Q637=Parametres!$G$3),J637,D637)</f>
        <v>-7140</v>
      </c>
      <c r="P637" s="151">
        <f>+IF(OR($Q637=Parametres!$G$2,$Q637=Parametres!$G$3),K637,E637)</f>
        <v>-142800</v>
      </c>
      <c r="Q637" s="150" t="str">
        <f t="shared" si="47"/>
        <v>8-Autres revenus</v>
      </c>
      <c r="R637" s="149" t="str">
        <f t="shared" si="48"/>
        <v>806</v>
      </c>
      <c r="S637" s="150" t="str">
        <f t="shared" si="49"/>
        <v>_</v>
      </c>
      <c r="T637" s="152" t="str">
        <f>+VLOOKUP($L637,Data_Validation!$A:$D,1,0)</f>
        <v>806A</v>
      </c>
      <c r="U637" s="152" t="str">
        <f>+VLOOKUP($L637,Data_Validation!$A:$D,3,0)</f>
        <v>Véhicules neufs</v>
      </c>
      <c r="V637" s="152" t="str">
        <f>+VLOOKUP($L637,Data_Validation!$A:$D,4,0)</f>
        <v>Frais administration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1144</v>
      </c>
      <c r="B638" s="662" t="s">
        <v>447</v>
      </c>
      <c r="C638" s="663">
        <v>-86275</v>
      </c>
      <c r="D638" s="663">
        <v>-8330</v>
      </c>
      <c r="E638" s="663">
        <v>-94605</v>
      </c>
      <c r="F638" s="662" t="s">
        <v>2229</v>
      </c>
      <c r="G638" s="662" t="s">
        <v>2299</v>
      </c>
      <c r="H638" s="657" t="s">
        <v>2997</v>
      </c>
      <c r="I638" s="656"/>
      <c r="J638" s="656"/>
      <c r="K638" s="656"/>
      <c r="L638" s="149" t="str">
        <f t="shared" si="45"/>
        <v>806C</v>
      </c>
      <c r="M638" s="150" t="str">
        <f t="shared" si="46"/>
        <v>FRAIS ADMINISTRATION USAGE</v>
      </c>
      <c r="N638" s="151">
        <f>+IF(OR($Q638=Parametres!$G$2,$Q638=Parametres!$G$3),I638,C638)</f>
        <v>-86275</v>
      </c>
      <c r="O638" s="151">
        <f>+IF(OR($Q638=Parametres!$G$2,$Q638=Parametres!$G$3),J638,D638)</f>
        <v>-8330</v>
      </c>
      <c r="P638" s="151">
        <f>+IF(OR($Q638=Parametres!$G$2,$Q638=Parametres!$G$3),K638,E638)</f>
        <v>-94605</v>
      </c>
      <c r="Q638" s="150" t="str">
        <f t="shared" si="47"/>
        <v>8-Autres revenus</v>
      </c>
      <c r="R638" s="149" t="str">
        <f t="shared" si="48"/>
        <v>806</v>
      </c>
      <c r="S638" s="150" t="str">
        <f t="shared" si="49"/>
        <v>_</v>
      </c>
      <c r="T638" s="152" t="str">
        <f>+VLOOKUP($L638,Data_Validation!$A:$D,1,0)</f>
        <v>806C</v>
      </c>
      <c r="U638" s="152" t="str">
        <f>+VLOOKUP($L638,Data_Validation!$A:$D,3,0)</f>
        <v>Véhicules usagés</v>
      </c>
      <c r="V638" s="152" t="str">
        <f>+VLOOKUP($L638,Data_Validation!$A:$D,4,0)</f>
        <v>Frais administration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138</v>
      </c>
      <c r="B639" s="662" t="s">
        <v>430</v>
      </c>
      <c r="C639" s="663">
        <v>-19277.52</v>
      </c>
      <c r="D639" s="663">
        <v>-1085.52</v>
      </c>
      <c r="E639" s="663">
        <v>-20363.04</v>
      </c>
      <c r="F639" s="662" t="s">
        <v>2229</v>
      </c>
      <c r="G639" s="662" t="s">
        <v>430</v>
      </c>
      <c r="H639" s="657" t="s">
        <v>2997</v>
      </c>
      <c r="I639" s="656"/>
      <c r="J639" s="656"/>
      <c r="K639" s="656"/>
      <c r="L639" s="149" t="str">
        <f t="shared" si="45"/>
        <v>805</v>
      </c>
      <c r="M639" s="150" t="str">
        <f t="shared" si="46"/>
        <v>AUTRES REVENUS</v>
      </c>
      <c r="N639" s="151">
        <f>+IF(OR($Q639=Parametres!$G$2,$Q639=Parametres!$G$3),I639,C639)</f>
        <v>-19277.52</v>
      </c>
      <c r="O639" s="151">
        <f>+IF(OR($Q639=Parametres!$G$2,$Q639=Parametres!$G$3),J639,D639)</f>
        <v>-1085.52</v>
      </c>
      <c r="P639" s="151">
        <f>+IF(OR($Q639=Parametres!$G$2,$Q639=Parametres!$G$3),K639,E639)</f>
        <v>-20363.04</v>
      </c>
      <c r="Q639" s="150" t="str">
        <f t="shared" si="47"/>
        <v>8-Autres revenus</v>
      </c>
      <c r="R639" s="149" t="str">
        <f t="shared" si="48"/>
        <v>805</v>
      </c>
      <c r="S639" s="150" t="str">
        <f t="shared" si="49"/>
        <v>_</v>
      </c>
      <c r="T639" s="152" t="str">
        <f>+VLOOKUP($L639,Data_Validation!$A:$D,1,0)</f>
        <v>805</v>
      </c>
      <c r="U639" s="152" t="str">
        <f>+VLOOKUP($L639,Data_Validation!$A:$D,3,0)</f>
        <v>TOTAL  DES  REVENUS  ET  DÉPENSES</v>
      </c>
      <c r="V639" s="152" t="str">
        <f>+VLOOKUP($L639,Data_Validation!$A:$D,4,0)</f>
        <v>Revenus autres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438</v>
      </c>
      <c r="B640" s="662" t="s">
        <v>439</v>
      </c>
      <c r="C640" s="663">
        <v>-12525</v>
      </c>
      <c r="D640" s="663">
        <v>-2250</v>
      </c>
      <c r="E640" s="663">
        <v>-14775</v>
      </c>
      <c r="F640" s="662" t="s">
        <v>2229</v>
      </c>
      <c r="G640" s="662" t="s">
        <v>428</v>
      </c>
      <c r="H640" s="657" t="s">
        <v>2997</v>
      </c>
      <c r="I640" s="656"/>
      <c r="J640" s="656"/>
      <c r="K640" s="656"/>
      <c r="L640" s="149" t="str">
        <f t="shared" si="45"/>
        <v>815C</v>
      </c>
      <c r="M640" s="150" t="str">
        <f t="shared" si="46"/>
        <v>REVENU RBSC BMW USAGE</v>
      </c>
      <c r="N640" s="151">
        <f>+IF(OR($Q640=Parametres!$G$2,$Q640=Parametres!$G$3),I640,C640)</f>
        <v>-12525</v>
      </c>
      <c r="O640" s="151">
        <f>+IF(OR($Q640=Parametres!$G$2,$Q640=Parametres!$G$3),J640,D640)</f>
        <v>-2250</v>
      </c>
      <c r="P640" s="151">
        <f>+IF(OR($Q640=Parametres!$G$2,$Q640=Parametres!$G$3),K640,E640)</f>
        <v>-14775</v>
      </c>
      <c r="Q640" s="150" t="str">
        <f t="shared" si="47"/>
        <v>8-Autres revenus</v>
      </c>
      <c r="R640" s="149" t="str">
        <f t="shared" si="48"/>
        <v>815</v>
      </c>
      <c r="S640" s="150" t="str">
        <f t="shared" si="49"/>
        <v>_</v>
      </c>
      <c r="T640" s="152" t="str">
        <f>+VLOOKUP($L640,Data_Validation!$A:$D,1,0)</f>
        <v>815C</v>
      </c>
      <c r="U640" s="152" t="str">
        <f>+VLOOKUP($L640,Data_Validation!$A:$D,3,0)</f>
        <v>Véhicules usagés</v>
      </c>
      <c r="V640" s="152" t="str">
        <f>+VLOOKUP($L640,Data_Validation!$A:$D,4,0)</f>
        <v>RBSC used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1478</v>
      </c>
      <c r="B641" s="662" t="s">
        <v>1479</v>
      </c>
      <c r="C641" s="663">
        <v>-47.33</v>
      </c>
      <c r="D641" s="663">
        <v>0</v>
      </c>
      <c r="E641" s="663">
        <v>-47.33</v>
      </c>
      <c r="F641" s="662" t="s">
        <v>2229</v>
      </c>
      <c r="G641" s="662" t="s">
        <v>1479</v>
      </c>
      <c r="H641" s="657" t="s">
        <v>2997</v>
      </c>
      <c r="I641" s="656"/>
      <c r="J641" s="656"/>
      <c r="K641" s="656"/>
      <c r="L641" s="149" t="str">
        <f t="shared" si="45"/>
        <v>801</v>
      </c>
      <c r="M641" s="150" t="str">
        <f t="shared" si="46"/>
        <v>INTERETS GAGNES</v>
      </c>
      <c r="N641" s="151">
        <f>+IF(OR($Q641=Parametres!$G$2,$Q641=Parametres!$G$3),I641,C641)</f>
        <v>-47.33</v>
      </c>
      <c r="O641" s="151">
        <f>+IF(OR($Q641=Parametres!$G$2,$Q641=Parametres!$G$3),J641,D641)</f>
        <v>0</v>
      </c>
      <c r="P641" s="151">
        <f>+IF(OR($Q641=Parametres!$G$2,$Q641=Parametres!$G$3),K641,E641)</f>
        <v>-47.33</v>
      </c>
      <c r="Q641" s="150" t="str">
        <f t="shared" si="47"/>
        <v>8-Autres revenus</v>
      </c>
      <c r="R641" s="149" t="str">
        <f t="shared" si="48"/>
        <v>801</v>
      </c>
      <c r="S641" s="150" t="str">
        <f t="shared" si="49"/>
        <v>_</v>
      </c>
      <c r="T641" s="152" t="str">
        <f>+VLOOKUP($L641,Data_Validation!$A:$D,1,0)</f>
        <v>801</v>
      </c>
      <c r="U641" s="152" t="str">
        <f>+VLOOKUP($L641,Data_Validation!$A:$D,3,0)</f>
        <v>TOTAL  DES  REVENUS  ET  DÉPENSES</v>
      </c>
      <c r="V641" s="152" t="str">
        <f>+VLOOKUP($L641,Data_Validation!$A:$D,4,0)</f>
        <v>Revenus autres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413</v>
      </c>
      <c r="B642" s="662" t="s">
        <v>414</v>
      </c>
      <c r="C642" s="663">
        <v>-875</v>
      </c>
      <c r="D642" s="663">
        <v>0</v>
      </c>
      <c r="E642" s="663">
        <v>-875</v>
      </c>
      <c r="F642" s="662" t="s">
        <v>2300</v>
      </c>
      <c r="G642" s="662" t="s">
        <v>414</v>
      </c>
      <c r="H642" s="657" t="s">
        <v>2997</v>
      </c>
      <c r="I642" s="656"/>
      <c r="J642" s="656"/>
      <c r="K642" s="656"/>
      <c r="L642" s="149" t="str">
        <f t="shared" ref="L642:L705" si="50">+B642</f>
        <v>817</v>
      </c>
      <c r="M642" s="150" t="str">
        <f t="shared" ref="M642:M705" si="51">+A642</f>
        <v>REVENU PERFORMANCE 360</v>
      </c>
      <c r="N642" s="151">
        <f>+IF(OR($Q642=Parametres!$G$2,$Q642=Parametres!$G$3),I642,C642)</f>
        <v>-875</v>
      </c>
      <c r="O642" s="151">
        <f>+IF(OR($Q642=Parametres!$G$2,$Q642=Parametres!$G$3),J642,D642)</f>
        <v>0</v>
      </c>
      <c r="P642" s="151">
        <f>+IF(OR($Q642=Parametres!$G$2,$Q642=Parametres!$G$3),K642,E642)</f>
        <v>-875</v>
      </c>
      <c r="Q642" s="150" t="str">
        <f t="shared" ref="Q642:Q705" si="52">+F642</f>
        <v>9-Autres déductions</v>
      </c>
      <c r="R642" s="149" t="str">
        <f t="shared" ref="R642:R705" si="53">+G642</f>
        <v>817</v>
      </c>
      <c r="S642" s="150" t="str">
        <f t="shared" ref="S642:S705" si="54">+H642</f>
        <v>_</v>
      </c>
      <c r="T642" s="152" t="str">
        <f>+VLOOKUP($L642,Data_Validation!$A:$D,1,0)</f>
        <v>817</v>
      </c>
      <c r="U642" s="152" t="str">
        <f>+VLOOKUP($L642,Data_Validation!$A:$D,3,0)</f>
        <v>Véhicules usagés</v>
      </c>
      <c r="V642" s="152" t="str">
        <f>+VLOOKUP($L642,Data_Validation!$A:$D,4,0)</f>
        <v>Programme 360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801</v>
      </c>
      <c r="B643" s="662" t="s">
        <v>802</v>
      </c>
      <c r="C643" s="663">
        <v>7.95</v>
      </c>
      <c r="D643" s="663">
        <v>0</v>
      </c>
      <c r="E643" s="663">
        <v>7.95</v>
      </c>
      <c r="F643" s="662" t="s">
        <v>2300</v>
      </c>
      <c r="G643" s="662" t="s">
        <v>2282</v>
      </c>
      <c r="H643" s="657" t="s">
        <v>2997</v>
      </c>
      <c r="I643" s="656"/>
      <c r="J643" s="656"/>
      <c r="K643" s="656"/>
      <c r="L643" s="149" t="str">
        <f t="shared" si="50"/>
        <v>851</v>
      </c>
      <c r="M643" s="150" t="str">
        <f t="shared" si="51"/>
        <v>INTERETS PAYES</v>
      </c>
      <c r="N643" s="151">
        <f>+IF(OR($Q643=Parametres!$G$2,$Q643=Parametres!$G$3),I643,C643)</f>
        <v>7.95</v>
      </c>
      <c r="O643" s="151">
        <f>+IF(OR($Q643=Parametres!$G$2,$Q643=Parametres!$G$3),J643,D643)</f>
        <v>0</v>
      </c>
      <c r="P643" s="151">
        <f>+IF(OR($Q643=Parametres!$G$2,$Q643=Parametres!$G$3),K643,E643)</f>
        <v>7.95</v>
      </c>
      <c r="Q643" s="150" t="str">
        <f t="shared" si="52"/>
        <v>9-Autres déductions</v>
      </c>
      <c r="R643" s="149" t="str">
        <f t="shared" si="53"/>
        <v>73</v>
      </c>
      <c r="S643" s="150" t="str">
        <f t="shared" si="54"/>
        <v>_</v>
      </c>
      <c r="T643" s="152" t="str">
        <f>+VLOOKUP($L643,Data_Validation!$A:$D,1,0)</f>
        <v>851</v>
      </c>
      <c r="U643" s="152" t="str">
        <f>+VLOOKUP($L643,Data_Validation!$A:$D,3,0)</f>
        <v>TOTAL  DES  REVENUS  ET  DÉPENSES</v>
      </c>
      <c r="V643" s="152" t="str">
        <f>+VLOOKUP($L643,Data_Validation!$A:$D,4,0)</f>
        <v>Revenus autres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1482</v>
      </c>
      <c r="B644" s="662" t="s">
        <v>688</v>
      </c>
      <c r="C644" s="663"/>
      <c r="D644" s="663"/>
      <c r="E644" s="663"/>
      <c r="F644" s="662" t="s">
        <v>4</v>
      </c>
      <c r="G644" s="662" t="s">
        <v>352</v>
      </c>
      <c r="H644" s="657" t="s">
        <v>2997</v>
      </c>
      <c r="I644" s="656">
        <v>19</v>
      </c>
      <c r="J644" s="656">
        <v>-2</v>
      </c>
      <c r="K644" s="656">
        <v>17</v>
      </c>
      <c r="L644" s="149" t="str">
        <f t="shared" si="50"/>
        <v>230@</v>
      </c>
      <c r="M644" s="150" t="str">
        <f t="shared" si="51"/>
        <v># DE VOITURES NEUVES BMW</v>
      </c>
      <c r="N644" s="151">
        <f>+IF(OR($Q644=Parametres!$G$2,$Q644=Parametres!$G$3),I644,C644)</f>
        <v>19</v>
      </c>
      <c r="O644" s="151">
        <f>+IF(OR($Q644=Parametres!$G$2,$Q644=Parametres!$G$3),J644,D644)</f>
        <v>-2</v>
      </c>
      <c r="P644" s="151">
        <f>+IF(OR($Q644=Parametres!$G$2,$Q644=Parametres!$G$3),K644,E644)</f>
        <v>17</v>
      </c>
      <c r="Q644" s="150" t="str">
        <f t="shared" si="52"/>
        <v>10-Compte compteur</v>
      </c>
      <c r="R644" s="149" t="str">
        <f t="shared" si="53"/>
        <v>230</v>
      </c>
      <c r="S644" s="150" t="str">
        <f t="shared" si="54"/>
        <v>_</v>
      </c>
      <c r="T644" s="152" t="str">
        <f>+VLOOKUP($L644,Data_Validation!$A:$D,1,0)</f>
        <v>230@</v>
      </c>
      <c r="U644" s="152" t="str">
        <f>+VLOOKUP($L644,Data_Validation!$A:$D,3,0)</f>
        <v>Autres</v>
      </c>
      <c r="V644" s="152">
        <f>+VLOOKUP($L644,Data_Validation!$A:$D,4,0)</f>
        <v>0</v>
      </c>
      <c r="W644" s="152">
        <f>+VLOOKUP($L644,Data_Validation!$A:$E,5,0)</f>
        <v>0</v>
      </c>
      <c r="X644" s="152">
        <f>+VLOOKUP($L644,Data_Validation!$A:$F,6,0)</f>
        <v>0</v>
      </c>
    </row>
    <row r="645" spans="1:24" ht="15.75" customHeight="1">
      <c r="A645" s="662" t="s">
        <v>1483</v>
      </c>
      <c r="B645" s="662" t="s">
        <v>689</v>
      </c>
      <c r="C645" s="663"/>
      <c r="D645" s="663"/>
      <c r="E645" s="663"/>
      <c r="F645" s="662" t="s">
        <v>4</v>
      </c>
      <c r="G645" s="662" t="s">
        <v>382</v>
      </c>
      <c r="H645" s="657" t="s">
        <v>2997</v>
      </c>
      <c r="I645" s="656">
        <v>37</v>
      </c>
      <c r="J645" s="656">
        <v>2</v>
      </c>
      <c r="K645" s="656">
        <v>39</v>
      </c>
      <c r="L645" s="149" t="str">
        <f t="shared" si="50"/>
        <v>232@</v>
      </c>
      <c r="M645" s="150" t="str">
        <f t="shared" si="51"/>
        <v># DE CAMIONS NEUFS BMW</v>
      </c>
      <c r="N645" s="151">
        <f>+IF(OR($Q645=Parametres!$G$2,$Q645=Parametres!$G$3),I645,C645)</f>
        <v>37</v>
      </c>
      <c r="O645" s="151">
        <f>+IF(OR($Q645=Parametres!$G$2,$Q645=Parametres!$G$3),J645,D645)</f>
        <v>2</v>
      </c>
      <c r="P645" s="151">
        <f>+IF(OR($Q645=Parametres!$G$2,$Q645=Parametres!$G$3),K645,E645)</f>
        <v>39</v>
      </c>
      <c r="Q645" s="150" t="str">
        <f t="shared" si="52"/>
        <v>10-Compte compteur</v>
      </c>
      <c r="R645" s="149" t="str">
        <f t="shared" si="53"/>
        <v>232</v>
      </c>
      <c r="S645" s="150" t="str">
        <f t="shared" si="54"/>
        <v>_</v>
      </c>
      <c r="T645" s="152" t="str">
        <f>+VLOOKUP($L645,Data_Validation!$A:$D,1,0)</f>
        <v>232@</v>
      </c>
      <c r="U645" s="152" t="str">
        <f>+VLOOKUP($L645,Data_Validation!$A:$D,3,0)</f>
        <v>Autres</v>
      </c>
      <c r="V645" s="152">
        <f>+VLOOKUP($L645,Data_Validation!$A:$D,4,0)</f>
        <v>0</v>
      </c>
      <c r="W645" s="152">
        <f>+VLOOKUP($L645,Data_Validation!$A:$E,5,0)</f>
        <v>0</v>
      </c>
      <c r="X645" s="152">
        <f>+VLOOKUP($L645,Data_Validation!$A:$F,6,0)</f>
        <v>0</v>
      </c>
    </row>
    <row r="646" spans="1:24" ht="15.75" customHeight="1">
      <c r="A646" s="662" t="s">
        <v>1875</v>
      </c>
      <c r="B646" s="662" t="s">
        <v>1001</v>
      </c>
      <c r="C646" s="663"/>
      <c r="D646" s="663"/>
      <c r="E646" s="663"/>
      <c r="F646" s="662" t="s">
        <v>4</v>
      </c>
      <c r="G646" s="662" t="s">
        <v>353</v>
      </c>
      <c r="H646" s="657" t="s">
        <v>2997</v>
      </c>
      <c r="I646" s="656">
        <v>17</v>
      </c>
      <c r="J646" s="656">
        <v>-2</v>
      </c>
      <c r="K646" s="656">
        <v>15</v>
      </c>
      <c r="L646" s="149" t="str">
        <f t="shared" si="50"/>
        <v>234@</v>
      </c>
      <c r="M646" s="150" t="str">
        <f t="shared" si="51"/>
        <v># OF INVENTAIRE VEHICULES I</v>
      </c>
      <c r="N646" s="151">
        <f>+IF(OR($Q646=Parametres!$G$2,$Q646=Parametres!$G$3),I646,C646)</f>
        <v>17</v>
      </c>
      <c r="O646" s="151">
        <f>+IF(OR($Q646=Parametres!$G$2,$Q646=Parametres!$G$3),J646,D646)</f>
        <v>-2</v>
      </c>
      <c r="P646" s="151">
        <f>+IF(OR($Q646=Parametres!$G$2,$Q646=Parametres!$G$3),K646,E646)</f>
        <v>15</v>
      </c>
      <c r="Q646" s="150" t="str">
        <f t="shared" si="52"/>
        <v>10-Compte compteur</v>
      </c>
      <c r="R646" s="149" t="str">
        <f t="shared" si="53"/>
        <v>234</v>
      </c>
      <c r="S646" s="150" t="str">
        <f t="shared" si="54"/>
        <v>_</v>
      </c>
      <c r="T646" s="152" t="str">
        <f>+VLOOKUP($L646,Data_Validation!$A:$D,1,0)</f>
        <v>234@</v>
      </c>
      <c r="U646" s="152" t="str">
        <f>+VLOOKUP($L646,Data_Validation!$A:$D,3,0)</f>
        <v>Autres</v>
      </c>
      <c r="V646" s="152">
        <f>+VLOOKUP($L646,Data_Validation!$A:$D,4,0)</f>
        <v>0</v>
      </c>
      <c r="W646" s="152">
        <f>+VLOOKUP($L646,Data_Validation!$A:$E,5,0)</f>
        <v>0</v>
      </c>
      <c r="X646" s="152">
        <f>+VLOOKUP($L646,Data_Validation!$A:$F,6,0)</f>
        <v>0</v>
      </c>
    </row>
    <row r="647" spans="1:24" ht="15.75" customHeight="1">
      <c r="A647" s="662" t="s">
        <v>1484</v>
      </c>
      <c r="B647" s="662" t="s">
        <v>690</v>
      </c>
      <c r="C647" s="663"/>
      <c r="D647" s="663"/>
      <c r="E647" s="663"/>
      <c r="F647" s="662" t="s">
        <v>4</v>
      </c>
      <c r="G647" s="662" t="s">
        <v>408</v>
      </c>
      <c r="H647" s="657" t="s">
        <v>2997</v>
      </c>
      <c r="I647" s="656">
        <v>9</v>
      </c>
      <c r="J647" s="656">
        <v>-4</v>
      </c>
      <c r="K647" s="656">
        <v>5</v>
      </c>
      <c r="L647" s="149" t="str">
        <f t="shared" si="50"/>
        <v>240A@</v>
      </c>
      <c r="M647" s="150" t="str">
        <f t="shared" si="51"/>
        <v># DE VOITURES USAGEES BMW</v>
      </c>
      <c r="N647" s="151">
        <f>+IF(OR($Q647=Parametres!$G$2,$Q647=Parametres!$G$3),I647,C647)</f>
        <v>9</v>
      </c>
      <c r="O647" s="151">
        <f>+IF(OR($Q647=Parametres!$G$2,$Q647=Parametres!$G$3),J647,D647)</f>
        <v>-4</v>
      </c>
      <c r="P647" s="151">
        <f>+IF(OR($Q647=Parametres!$G$2,$Q647=Parametres!$G$3),K647,E647)</f>
        <v>5</v>
      </c>
      <c r="Q647" s="150" t="str">
        <f t="shared" si="52"/>
        <v>10-Compte compteur</v>
      </c>
      <c r="R647" s="149" t="str">
        <f t="shared" si="53"/>
        <v>240A</v>
      </c>
      <c r="S647" s="150" t="str">
        <f t="shared" si="54"/>
        <v>_</v>
      </c>
      <c r="T647" s="152" t="str">
        <f>+VLOOKUP($L647,Data_Validation!$A:$D,1,0)</f>
        <v>240A@</v>
      </c>
      <c r="U647" s="152" t="str">
        <f>+VLOOKUP($L647,Data_Validation!$A:$D,3,0)</f>
        <v>Autres</v>
      </c>
      <c r="V647" s="152">
        <f>+VLOOKUP($L647,Data_Validation!$A:$D,4,0)</f>
        <v>0</v>
      </c>
      <c r="W647" s="152">
        <f>+VLOOKUP($L647,Data_Validation!$A:$E,5,0)</f>
        <v>0</v>
      </c>
      <c r="X647" s="152">
        <f>+VLOOKUP($L647,Data_Validation!$A:$F,6,0)</f>
        <v>0</v>
      </c>
    </row>
    <row r="648" spans="1:24" ht="15.75" customHeight="1">
      <c r="A648" s="662" t="s">
        <v>1485</v>
      </c>
      <c r="B648" s="662" t="s">
        <v>691</v>
      </c>
      <c r="C648" s="663"/>
      <c r="D648" s="663"/>
      <c r="E648" s="663"/>
      <c r="F648" s="662" t="s">
        <v>4</v>
      </c>
      <c r="G648" s="662" t="s">
        <v>432</v>
      </c>
      <c r="H648" s="657" t="s">
        <v>2997</v>
      </c>
      <c r="I648" s="656">
        <v>14</v>
      </c>
      <c r="J648" s="656">
        <v>-8</v>
      </c>
      <c r="K648" s="656">
        <v>6</v>
      </c>
      <c r="L648" s="149" t="str">
        <f t="shared" si="50"/>
        <v>240C@</v>
      </c>
      <c r="M648" s="150" t="str">
        <f t="shared" si="51"/>
        <v># DE VEHICULES USAGES AUTRES</v>
      </c>
      <c r="N648" s="151">
        <f>+IF(OR($Q648=Parametres!$G$2,$Q648=Parametres!$G$3),I648,C648)</f>
        <v>14</v>
      </c>
      <c r="O648" s="151">
        <f>+IF(OR($Q648=Parametres!$G$2,$Q648=Parametres!$G$3),J648,D648)</f>
        <v>-8</v>
      </c>
      <c r="P648" s="151">
        <f>+IF(OR($Q648=Parametres!$G$2,$Q648=Parametres!$G$3),K648,E648)</f>
        <v>6</v>
      </c>
      <c r="Q648" s="150" t="str">
        <f t="shared" si="52"/>
        <v>10-Compte compteur</v>
      </c>
      <c r="R648" s="149" t="str">
        <f t="shared" si="53"/>
        <v>240C</v>
      </c>
      <c r="S648" s="150" t="str">
        <f t="shared" si="54"/>
        <v>_</v>
      </c>
      <c r="T648" s="152" t="str">
        <f>+VLOOKUP($L648,Data_Validation!$A:$D,1,0)</f>
        <v>240C@</v>
      </c>
      <c r="U648" s="152" t="str">
        <f>+VLOOKUP($L648,Data_Validation!$A:$D,3,0)</f>
        <v>Autres</v>
      </c>
      <c r="V648" s="152">
        <f>+VLOOKUP($L648,Data_Validation!$A:$D,4,0)</f>
        <v>0</v>
      </c>
      <c r="W648" s="152">
        <f>+VLOOKUP($L648,Data_Validation!$A:$E,5,0)</f>
        <v>0</v>
      </c>
      <c r="X648" s="152">
        <f>+VLOOKUP($L648,Data_Validation!$A:$F,6,0)</f>
        <v>0</v>
      </c>
    </row>
    <row r="649" spans="1:24" ht="15.75" customHeight="1">
      <c r="A649" s="662" t="s">
        <v>1486</v>
      </c>
      <c r="B649" s="662" t="s">
        <v>1035</v>
      </c>
      <c r="C649" s="663"/>
      <c r="D649" s="663"/>
      <c r="E649" s="663"/>
      <c r="F649" s="662" t="s">
        <v>4</v>
      </c>
      <c r="G649" s="662" t="s">
        <v>819</v>
      </c>
      <c r="H649" s="657" t="s">
        <v>2997</v>
      </c>
      <c r="I649" s="656">
        <v>22</v>
      </c>
      <c r="J649" s="656">
        <v>-13</v>
      </c>
      <c r="K649" s="656">
        <v>9</v>
      </c>
      <c r="L649" s="149" t="str">
        <f t="shared" si="50"/>
        <v>242A@</v>
      </c>
      <c r="M649" s="150" t="str">
        <f t="shared" si="51"/>
        <v># DE CAMIONS USAGES BMW</v>
      </c>
      <c r="N649" s="151">
        <f>+IF(OR($Q649=Parametres!$G$2,$Q649=Parametres!$G$3),I649,C649)</f>
        <v>22</v>
      </c>
      <c r="O649" s="472">
        <f>+IF(OR($Q649=Parametres!$G$2,$Q649=Parametres!$G$3),J649,D649)</f>
        <v>-13</v>
      </c>
      <c r="P649" s="151">
        <f>+IF(OR($Q649=Parametres!$G$2,$Q649=Parametres!$G$3),K649,E649)</f>
        <v>9</v>
      </c>
      <c r="Q649" s="150" t="str">
        <f t="shared" si="52"/>
        <v>10-Compte compteur</v>
      </c>
      <c r="R649" s="149" t="str">
        <f t="shared" si="53"/>
        <v>242A</v>
      </c>
      <c r="S649" s="150" t="str">
        <f t="shared" si="54"/>
        <v>_</v>
      </c>
      <c r="T649" s="152" t="str">
        <f>+VLOOKUP($L649,Data_Validation!$A:$D,1,0)</f>
        <v>242A@</v>
      </c>
      <c r="U649" s="152" t="str">
        <f>+VLOOKUP($L649,Data_Validation!$A:$D,3,0)</f>
        <v>Autres</v>
      </c>
      <c r="V649" s="152">
        <f>+VLOOKUP($L649,Data_Validation!$A:$D,4,0)</f>
        <v>0</v>
      </c>
      <c r="W649" s="152">
        <f>+VLOOKUP($L649,Data_Validation!$A:$E,5,0)</f>
        <v>0</v>
      </c>
      <c r="X649" s="152">
        <f>+VLOOKUP($L649,Data_Validation!$A:$F,6,0)</f>
        <v>0</v>
      </c>
    </row>
    <row r="650" spans="1:24" ht="15.75" customHeight="1">
      <c r="A650" s="662" t="s">
        <v>2927</v>
      </c>
      <c r="B650" s="662" t="s">
        <v>2928</v>
      </c>
      <c r="C650" s="663"/>
      <c r="D650" s="663"/>
      <c r="E650" s="663"/>
      <c r="F650" s="662" t="s">
        <v>4</v>
      </c>
      <c r="G650" s="662" t="s">
        <v>2924</v>
      </c>
      <c r="H650" s="657" t="s">
        <v>2997</v>
      </c>
      <c r="I650" s="656">
        <v>-1</v>
      </c>
      <c r="J650" s="656">
        <v>0</v>
      </c>
      <c r="K650" s="656">
        <v>-1</v>
      </c>
      <c r="L650" s="149" t="str">
        <f t="shared" si="50"/>
        <v>401A@</v>
      </c>
      <c r="M650" s="150" t="str">
        <f t="shared" si="51"/>
        <v># DE VTE - M240I COUPE</v>
      </c>
      <c r="N650" s="151">
        <f>+IF(OR($Q650=Parametres!$G$2,$Q650=Parametres!$G$3),I650,C650)</f>
        <v>-1</v>
      </c>
      <c r="O650" s="151">
        <f>+IF(OR($Q650=Parametres!$G$2,$Q650=Parametres!$G$3),J650,D650)</f>
        <v>0</v>
      </c>
      <c r="P650" s="151">
        <f>+IF(OR($Q650=Parametres!$G$2,$Q650=Parametres!$G$3),K650,E650)</f>
        <v>-1</v>
      </c>
      <c r="Q650" s="150" t="str">
        <f t="shared" si="52"/>
        <v>10-Compte compteur</v>
      </c>
      <c r="R650" s="149" t="str">
        <f t="shared" si="53"/>
        <v>401A</v>
      </c>
      <c r="S650" s="150" t="str">
        <f t="shared" si="54"/>
        <v>_</v>
      </c>
      <c r="T650" s="152" t="str">
        <f>+VLOOKUP($L650,Data_Validation!$A:$D,1,0)</f>
        <v>401A@</v>
      </c>
      <c r="U650" s="152" t="str">
        <f>+VLOOKUP($L650,Data_Validation!$A:$D,3,0)</f>
        <v>Véhicules neufs</v>
      </c>
      <c r="V650" s="152" t="str">
        <f>+VLOOKUP($L650,Data_Validation!$A:$D,4,0)</f>
        <v>Autos détail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62" t="s">
        <v>2352</v>
      </c>
      <c r="B651" s="662" t="s">
        <v>2353</v>
      </c>
      <c r="C651" s="663"/>
      <c r="D651" s="663"/>
      <c r="E651" s="663"/>
      <c r="F651" s="662" t="s">
        <v>4</v>
      </c>
      <c r="G651" s="662" t="s">
        <v>2341</v>
      </c>
      <c r="H651" s="657" t="s">
        <v>2997</v>
      </c>
      <c r="I651" s="656">
        <v>-3</v>
      </c>
      <c r="J651" s="656">
        <v>0</v>
      </c>
      <c r="K651" s="656">
        <v>-3</v>
      </c>
      <c r="L651" s="149" t="str">
        <f t="shared" si="50"/>
        <v>402B@</v>
      </c>
      <c r="M651" s="150" t="str">
        <f t="shared" si="51"/>
        <v># DE VTE - IX XDRIVE 50</v>
      </c>
      <c r="N651" s="151">
        <f>+IF(OR($Q651=Parametres!$G$2,$Q651=Parametres!$G$3),I651,C651)</f>
        <v>-3</v>
      </c>
      <c r="O651" s="472">
        <f>+IF(OR($Q651=Parametres!$G$2,$Q651=Parametres!$G$3),J651,D651)</f>
        <v>0</v>
      </c>
      <c r="P651" s="151">
        <f>+IF(OR($Q651=Parametres!$G$2,$Q651=Parametres!$G$3),K651,E651)</f>
        <v>-3</v>
      </c>
      <c r="Q651" s="150" t="str">
        <f t="shared" si="52"/>
        <v>10-Compte compteur</v>
      </c>
      <c r="R651" s="149" t="str">
        <f t="shared" si="53"/>
        <v>402B</v>
      </c>
      <c r="S651" s="150" t="str">
        <f t="shared" si="54"/>
        <v>_</v>
      </c>
      <c r="T651" s="152" t="str">
        <f>+VLOOKUP($L651,Data_Validation!$A:$D,1,0)</f>
        <v>402B@</v>
      </c>
      <c r="U651" s="152" t="str">
        <f>+VLOOKUP($L651,Data_Validation!$A:$D,3,0)</f>
        <v>Véhicules neufs</v>
      </c>
      <c r="V651" s="152" t="str">
        <f>+VLOOKUP($L651,Data_Validation!$A:$D,4,0)</f>
        <v>Camions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62" t="s">
        <v>2991</v>
      </c>
      <c r="B652" s="662" t="s">
        <v>2994</v>
      </c>
      <c r="C652" s="663"/>
      <c r="D652" s="663"/>
      <c r="E652" s="663"/>
      <c r="F652" s="662" t="s">
        <v>4</v>
      </c>
      <c r="G652" s="662" t="s">
        <v>3002</v>
      </c>
      <c r="H652" s="657" t="s">
        <v>2997</v>
      </c>
      <c r="I652" s="656">
        <v>-1</v>
      </c>
      <c r="J652" s="656">
        <v>-1</v>
      </c>
      <c r="K652" s="656">
        <v>-2</v>
      </c>
      <c r="L652" s="149" t="str">
        <f t="shared" si="50"/>
        <v>402E@</v>
      </c>
      <c r="M652" s="150" t="str">
        <f t="shared" si="51"/>
        <v>IX XDRIVE60</v>
      </c>
      <c r="N652" s="151">
        <f>+IF(OR($Q652=Parametres!$G$2,$Q652=Parametres!$G$3),I652,C652)</f>
        <v>-1</v>
      </c>
      <c r="O652" s="151">
        <f>+IF(OR($Q652=Parametres!$G$2,$Q652=Parametres!$G$3),J652,D652)</f>
        <v>-1</v>
      </c>
      <c r="P652" s="151">
        <f>+IF(OR($Q652=Parametres!$G$2,$Q652=Parametres!$G$3),K652,E652)</f>
        <v>-2</v>
      </c>
      <c r="Q652" s="150" t="str">
        <f t="shared" si="52"/>
        <v>10-Compte compteur</v>
      </c>
      <c r="R652" s="149" t="str">
        <f t="shared" si="53"/>
        <v>402</v>
      </c>
      <c r="S652" s="150" t="str">
        <f t="shared" si="54"/>
        <v>_</v>
      </c>
      <c r="T652" s="152" t="str">
        <f>+VLOOKUP($L652,Data_Validation!$A:$D,1,0)</f>
        <v>402E@</v>
      </c>
      <c r="U652" s="152" t="str">
        <f>+VLOOKUP($L652,Data_Validation!$A:$D,3,0)</f>
        <v>Véhicules neufs</v>
      </c>
      <c r="V652" s="152" t="str">
        <f>+VLOOKUP($L652,Data_Validation!$A:$D,4,0)</f>
        <v>Camions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62" t="s">
        <v>2354</v>
      </c>
      <c r="B653" s="662" t="s">
        <v>2355</v>
      </c>
      <c r="C653" s="663"/>
      <c r="D653" s="663"/>
      <c r="E653" s="663"/>
      <c r="F653" s="662" t="s">
        <v>4</v>
      </c>
      <c r="G653" s="662" t="s">
        <v>2343</v>
      </c>
      <c r="H653" s="657" t="s">
        <v>2997</v>
      </c>
      <c r="I653" s="656">
        <v>-5</v>
      </c>
      <c r="J653" s="656">
        <v>0</v>
      </c>
      <c r="K653" s="656">
        <v>-5</v>
      </c>
      <c r="L653" s="149" t="str">
        <f t="shared" si="50"/>
        <v>403I@</v>
      </c>
      <c r="M653" s="150" t="str">
        <f t="shared" si="51"/>
        <v># OF VTES -i4 M50i XDRIVE GRAN COUPE</v>
      </c>
      <c r="N653" s="151">
        <f>+IF(OR($Q653=Parametres!$G$2,$Q653=Parametres!$G$3),I653,C653)</f>
        <v>-5</v>
      </c>
      <c r="O653" s="472">
        <f>+IF(OR($Q653=Parametres!$G$2,$Q653=Parametres!$G$3),J653,D653)</f>
        <v>0</v>
      </c>
      <c r="P653" s="151">
        <f>+IF(OR($Q653=Parametres!$G$2,$Q653=Parametres!$G$3),K653,E653)</f>
        <v>-5</v>
      </c>
      <c r="Q653" s="150" t="str">
        <f t="shared" si="52"/>
        <v>10-Compte compteur</v>
      </c>
      <c r="R653" s="149" t="str">
        <f t="shared" si="53"/>
        <v>403I</v>
      </c>
      <c r="S653" s="150" t="str">
        <f t="shared" si="54"/>
        <v>_</v>
      </c>
      <c r="T653" s="152" t="str">
        <f>+VLOOKUP($L653,Data_Validation!$A:$D,1,0)</f>
        <v>403I@</v>
      </c>
      <c r="U653" s="152" t="str">
        <f>+VLOOKUP($L653,Data_Validation!$A:$D,3,0)</f>
        <v>Véhicules neufs</v>
      </c>
      <c r="V653" s="152" t="str">
        <f>+VLOOKUP($L653,Data_Validation!$A:$D,4,0)</f>
        <v>Autos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62" t="s">
        <v>2356</v>
      </c>
      <c r="B654" s="662" t="s">
        <v>2357</v>
      </c>
      <c r="C654" s="663"/>
      <c r="D654" s="663"/>
      <c r="E654" s="663"/>
      <c r="F654" s="662" t="s">
        <v>4</v>
      </c>
      <c r="G654" s="662" t="s">
        <v>2345</v>
      </c>
      <c r="H654" s="657" t="s">
        <v>2997</v>
      </c>
      <c r="I654" s="656">
        <v>-5</v>
      </c>
      <c r="J654" s="656">
        <v>0</v>
      </c>
      <c r="K654" s="656">
        <v>-5</v>
      </c>
      <c r="L654" s="149" t="str">
        <f t="shared" si="50"/>
        <v>404I@</v>
      </c>
      <c r="M654" s="150" t="str">
        <f t="shared" si="51"/>
        <v># OF VTES -i4 eDRIVE40 GRAN COUPE</v>
      </c>
      <c r="N654" s="151">
        <f>+IF(OR($Q654=Parametres!$G$2,$Q654=Parametres!$G$3),I654,C654)</f>
        <v>-5</v>
      </c>
      <c r="O654" s="151">
        <f>+IF(OR($Q654=Parametres!$G$2,$Q654=Parametres!$G$3),J654,D654)</f>
        <v>0</v>
      </c>
      <c r="P654" s="151">
        <f>+IF(OR($Q654=Parametres!$G$2,$Q654=Parametres!$G$3),K654,E654)</f>
        <v>-5</v>
      </c>
      <c r="Q654" s="150" t="str">
        <f t="shared" si="52"/>
        <v>10-Compte compteur</v>
      </c>
      <c r="R654" s="149" t="str">
        <f t="shared" si="53"/>
        <v>404I</v>
      </c>
      <c r="S654" s="150" t="str">
        <f t="shared" si="54"/>
        <v>_</v>
      </c>
      <c r="T654" s="152" t="str">
        <f>+VLOOKUP($L654,Data_Validation!$A:$D,1,0)</f>
        <v>404I@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62" t="s">
        <v>2906</v>
      </c>
      <c r="B655" s="662" t="s">
        <v>2907</v>
      </c>
      <c r="C655" s="663"/>
      <c r="D655" s="663"/>
      <c r="E655" s="663"/>
      <c r="F655" s="662" t="s">
        <v>4</v>
      </c>
      <c r="G655" s="662" t="s">
        <v>2903</v>
      </c>
      <c r="H655" s="657" t="s">
        <v>2997</v>
      </c>
      <c r="I655" s="656">
        <v>-3</v>
      </c>
      <c r="J655" s="656">
        <v>0</v>
      </c>
      <c r="K655" s="656">
        <v>-3</v>
      </c>
      <c r="L655" s="149" t="str">
        <f t="shared" si="50"/>
        <v>404J@</v>
      </c>
      <c r="M655" s="150" t="str">
        <f t="shared" si="51"/>
        <v># DE VTE - i4 xDRIVE40</v>
      </c>
      <c r="N655" s="151">
        <f>+IF(OR($Q655=Parametres!$G$2,$Q655=Parametres!$G$3),I655,C655)</f>
        <v>-3</v>
      </c>
      <c r="O655" s="472">
        <f>+IF(OR($Q655=Parametres!$G$2,$Q655=Parametres!$G$3),J655,D655)</f>
        <v>0</v>
      </c>
      <c r="P655" s="151">
        <f>+IF(OR($Q655=Parametres!$G$2,$Q655=Parametres!$G$3),K655,E655)</f>
        <v>-3</v>
      </c>
      <c r="Q655" s="150" t="str">
        <f t="shared" si="52"/>
        <v>10-Compte compteur</v>
      </c>
      <c r="R655" s="149" t="str">
        <f t="shared" si="53"/>
        <v>404J</v>
      </c>
      <c r="S655" s="150" t="str">
        <f t="shared" si="54"/>
        <v>_</v>
      </c>
      <c r="T655" s="152" t="str">
        <f>+VLOOKUP($L655,Data_Validation!$A:$D,1,0)</f>
        <v>404J@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62" t="s">
        <v>2478</v>
      </c>
      <c r="B656" s="662" t="s">
        <v>2479</v>
      </c>
      <c r="C656" s="663"/>
      <c r="D656" s="663"/>
      <c r="E656" s="663"/>
      <c r="F656" s="662" t="s">
        <v>4</v>
      </c>
      <c r="G656" s="662" t="s">
        <v>2471</v>
      </c>
      <c r="H656" s="657" t="s">
        <v>2997</v>
      </c>
      <c r="I656" s="656">
        <v>-2</v>
      </c>
      <c r="J656" s="656">
        <v>0</v>
      </c>
      <c r="K656" s="656">
        <v>-2</v>
      </c>
      <c r="L656" s="149" t="str">
        <f t="shared" si="50"/>
        <v>405C@</v>
      </c>
      <c r="M656" s="150" t="str">
        <f t="shared" si="51"/>
        <v># DE VTE - 435I CABRIOLET</v>
      </c>
      <c r="N656" s="151">
        <f>+IF(OR($Q656=Parametres!$G$2,$Q656=Parametres!$G$3),I656,C656)</f>
        <v>-2</v>
      </c>
      <c r="O656" s="472">
        <f>+IF(OR($Q656=Parametres!$G$2,$Q656=Parametres!$G$3),J656,D656)</f>
        <v>0</v>
      </c>
      <c r="P656" s="151">
        <f>+IF(OR($Q656=Parametres!$G$2,$Q656=Parametres!$G$3),K656,E656)</f>
        <v>-2</v>
      </c>
      <c r="Q656" s="150" t="str">
        <f t="shared" si="52"/>
        <v>10-Compte compteur</v>
      </c>
      <c r="R656" s="149" t="str">
        <f t="shared" si="53"/>
        <v>405C</v>
      </c>
      <c r="S656" s="150" t="str">
        <f t="shared" si="54"/>
        <v>_</v>
      </c>
      <c r="T656" s="152" t="str">
        <f>+VLOOKUP($L656,Data_Validation!$A:$D,1,0)</f>
        <v>405C@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2" t="s">
        <v>2060</v>
      </c>
      <c r="B657" s="662" t="s">
        <v>2061</v>
      </c>
      <c r="C657" s="663"/>
      <c r="D657" s="663"/>
      <c r="E657" s="663"/>
      <c r="F657" s="662" t="s">
        <v>4</v>
      </c>
      <c r="G657" s="662" t="s">
        <v>2052</v>
      </c>
      <c r="H657" s="657" t="s">
        <v>2997</v>
      </c>
      <c r="I657" s="656">
        <v>-1</v>
      </c>
      <c r="J657" s="656">
        <v>0</v>
      </c>
      <c r="K657" s="656">
        <v>-1</v>
      </c>
      <c r="L657" s="149" t="str">
        <f t="shared" si="50"/>
        <v>405G@</v>
      </c>
      <c r="M657" s="150" t="str">
        <f t="shared" si="51"/>
        <v># DE VTE - M4 COUPE</v>
      </c>
      <c r="N657" s="151">
        <f>+IF(OR($Q657=Parametres!$G$2,$Q657=Parametres!$G$3),I657,C657)</f>
        <v>-1</v>
      </c>
      <c r="O657" s="472">
        <f>+IF(OR($Q657=Parametres!$G$2,$Q657=Parametres!$G$3),J657,D657)</f>
        <v>0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405G</v>
      </c>
      <c r="S657" s="150" t="str">
        <f t="shared" si="54"/>
        <v>_</v>
      </c>
      <c r="T657" s="152" t="str">
        <f>+VLOOKUP($L657,Data_Validation!$A:$D,1,0)</f>
        <v>405G@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2" t="s">
        <v>2372</v>
      </c>
      <c r="B658" s="662" t="s">
        <v>2373</v>
      </c>
      <c r="C658" s="663"/>
      <c r="D658" s="663"/>
      <c r="E658" s="663"/>
      <c r="F658" s="662" t="s">
        <v>4</v>
      </c>
      <c r="G658" s="662" t="s">
        <v>2480</v>
      </c>
      <c r="H658" s="657" t="s">
        <v>2997</v>
      </c>
      <c r="I658" s="656">
        <v>-2</v>
      </c>
      <c r="J658" s="656">
        <v>0</v>
      </c>
      <c r="K658" s="656">
        <v>-2</v>
      </c>
      <c r="L658" s="149" t="str">
        <f t="shared" si="50"/>
        <v>405H@</v>
      </c>
      <c r="M658" s="150" t="str">
        <f t="shared" si="51"/>
        <v>M4 CABRIOLET</v>
      </c>
      <c r="N658" s="151">
        <f>+IF(OR($Q658=Parametres!$G$2,$Q658=Parametres!$G$3),I658,C658)</f>
        <v>-2</v>
      </c>
      <c r="O658" s="472">
        <f>+IF(OR($Q658=Parametres!$G$2,$Q658=Parametres!$G$3),J658,D658)</f>
        <v>0</v>
      </c>
      <c r="P658" s="151">
        <f>+IF(OR($Q658=Parametres!$G$2,$Q658=Parametres!$G$3),K658,E658)</f>
        <v>-2</v>
      </c>
      <c r="Q658" s="150" t="str">
        <f t="shared" si="52"/>
        <v>10-Compte compteur</v>
      </c>
      <c r="R658" s="149" t="str">
        <f t="shared" si="53"/>
        <v>405</v>
      </c>
      <c r="S658" s="150" t="str">
        <f t="shared" si="54"/>
        <v>_</v>
      </c>
      <c r="T658" s="152" t="str">
        <f>+VLOOKUP($L658,Data_Validation!$A:$D,1,0)</f>
        <v>405H@</v>
      </c>
      <c r="U658" s="152" t="str">
        <f>+VLOOKUP($L658,Data_Validation!$A:$D,3,0)</f>
        <v>Véhicules neufs</v>
      </c>
      <c r="V658" s="152" t="str">
        <f>+VLOOKUP($L658,Data_Validation!$A:$D,4,0)</f>
        <v>Autos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2" t="s">
        <v>2151</v>
      </c>
      <c r="B659" s="662" t="s">
        <v>2152</v>
      </c>
      <c r="C659" s="663"/>
      <c r="D659" s="663"/>
      <c r="E659" s="663"/>
      <c r="F659" s="662" t="s">
        <v>4</v>
      </c>
      <c r="G659" s="662" t="s">
        <v>2144</v>
      </c>
      <c r="H659" s="657" t="s">
        <v>2997</v>
      </c>
      <c r="I659" s="656">
        <v>-2</v>
      </c>
      <c r="J659" s="656">
        <v>0</v>
      </c>
      <c r="K659" s="656">
        <v>-2</v>
      </c>
      <c r="L659" s="149" t="str">
        <f t="shared" si="50"/>
        <v>405J@</v>
      </c>
      <c r="M659" s="150" t="str">
        <f t="shared" si="51"/>
        <v># OF VTES -M4 COMPETITION</v>
      </c>
      <c r="N659" s="151">
        <f>+IF(OR($Q659=Parametres!$G$2,$Q659=Parametres!$G$3),I659,C659)</f>
        <v>-2</v>
      </c>
      <c r="O659" s="151">
        <f>+IF(OR($Q659=Parametres!$G$2,$Q659=Parametres!$G$3),J659,D659)</f>
        <v>0</v>
      </c>
      <c r="P659" s="151">
        <f>+IF(OR($Q659=Parametres!$G$2,$Q659=Parametres!$G$3),K659,E659)</f>
        <v>-2</v>
      </c>
      <c r="Q659" s="150" t="str">
        <f t="shared" si="52"/>
        <v>10-Compte compteur</v>
      </c>
      <c r="R659" s="149" t="str">
        <f t="shared" si="53"/>
        <v>405J</v>
      </c>
      <c r="S659" s="150" t="str">
        <f t="shared" si="54"/>
        <v>_</v>
      </c>
      <c r="T659" s="152" t="str">
        <f>+VLOOKUP($L659,Data_Validation!$A:$D,1,0)</f>
        <v>405J@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2" t="s">
        <v>1990</v>
      </c>
      <c r="B660" s="662" t="s">
        <v>1991</v>
      </c>
      <c r="C660" s="663"/>
      <c r="D660" s="663"/>
      <c r="E660" s="663"/>
      <c r="F660" s="662" t="s">
        <v>4</v>
      </c>
      <c r="G660" s="662" t="s">
        <v>1983</v>
      </c>
      <c r="H660" s="657" t="s">
        <v>2997</v>
      </c>
      <c r="I660" s="656">
        <v>-6</v>
      </c>
      <c r="J660" s="656">
        <v>0</v>
      </c>
      <c r="K660" s="656">
        <v>-6</v>
      </c>
      <c r="L660" s="149" t="str">
        <f t="shared" si="50"/>
        <v>405K@</v>
      </c>
      <c r="M660" s="150" t="str">
        <f t="shared" si="51"/>
        <v># OF VTES -M440I XDR COUPE</v>
      </c>
      <c r="N660" s="151">
        <f>+IF(OR($Q660=Parametres!$G$2,$Q660=Parametres!$G$3),I660,C660)</f>
        <v>-6</v>
      </c>
      <c r="O660" s="151">
        <f>+IF(OR($Q660=Parametres!$G$2,$Q660=Parametres!$G$3),J660,D660)</f>
        <v>0</v>
      </c>
      <c r="P660" s="151">
        <f>+IF(OR($Q660=Parametres!$G$2,$Q660=Parametres!$G$3),K660,E660)</f>
        <v>-6</v>
      </c>
      <c r="Q660" s="150" t="str">
        <f t="shared" si="52"/>
        <v>10-Compte compteur</v>
      </c>
      <c r="R660" s="149" t="str">
        <f t="shared" si="53"/>
        <v>405K</v>
      </c>
      <c r="S660" s="150" t="str">
        <f t="shared" si="54"/>
        <v>_</v>
      </c>
      <c r="T660" s="152" t="str">
        <f>+VLOOKUP($L660,Data_Validation!$A:$D,1,0)</f>
        <v>405K@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2" t="s">
        <v>2880</v>
      </c>
      <c r="B661" s="662" t="s">
        <v>2889</v>
      </c>
      <c r="C661" s="663"/>
      <c r="D661" s="663"/>
      <c r="E661" s="663"/>
      <c r="F661" s="662" t="s">
        <v>4</v>
      </c>
      <c r="G661" s="662" t="s">
        <v>2881</v>
      </c>
      <c r="H661" s="657" t="s">
        <v>2997</v>
      </c>
      <c r="I661" s="656">
        <v>-6</v>
      </c>
      <c r="J661" s="656">
        <v>0</v>
      </c>
      <c r="K661" s="656">
        <v>-6</v>
      </c>
      <c r="L661" s="149" t="str">
        <f t="shared" si="50"/>
        <v>405L@</v>
      </c>
      <c r="M661" s="150" t="str">
        <f t="shared" si="51"/>
        <v>M440I XDRIVE CABRIOLET</v>
      </c>
      <c r="N661" s="151">
        <f>+IF(OR($Q661=Parametres!$G$2,$Q661=Parametres!$G$3),I661,C661)</f>
        <v>-6</v>
      </c>
      <c r="O661" s="151">
        <f>+IF(OR($Q661=Parametres!$G$2,$Q661=Parametres!$G$3),J661,D661)</f>
        <v>0</v>
      </c>
      <c r="P661" s="151">
        <f>+IF(OR($Q661=Parametres!$G$2,$Q661=Parametres!$G$3),K661,E661)</f>
        <v>-6</v>
      </c>
      <c r="Q661" s="150" t="str">
        <f t="shared" si="52"/>
        <v>10-Compte compteur</v>
      </c>
      <c r="R661" s="149" t="str">
        <f t="shared" si="53"/>
        <v>405L</v>
      </c>
      <c r="S661" s="150" t="str">
        <f t="shared" si="54"/>
        <v>_</v>
      </c>
      <c r="T661" s="152" t="str">
        <f>+VLOOKUP($L661,Data_Validation!$A:$D,1,0)</f>
        <v>405L@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2" t="s">
        <v>1491</v>
      </c>
      <c r="B662" s="662" t="s">
        <v>698</v>
      </c>
      <c r="C662" s="663"/>
      <c r="D662" s="663"/>
      <c r="E662" s="663"/>
      <c r="F662" s="662" t="s">
        <v>4</v>
      </c>
      <c r="G662" s="662" t="s">
        <v>610</v>
      </c>
      <c r="H662" s="657" t="s">
        <v>2997</v>
      </c>
      <c r="I662" s="656">
        <v>-1</v>
      </c>
      <c r="J662" s="656">
        <v>0</v>
      </c>
      <c r="K662" s="656">
        <v>-1</v>
      </c>
      <c r="L662" s="149" t="str">
        <f t="shared" si="50"/>
        <v>406G@</v>
      </c>
      <c r="M662" s="150" t="str">
        <f t="shared" si="51"/>
        <v># DE VTE - M240I XDRIVE COUPE</v>
      </c>
      <c r="N662" s="151">
        <f>+IF(OR($Q662=Parametres!$G$2,$Q662=Parametres!$G$3),I662,C662)</f>
        <v>-1</v>
      </c>
      <c r="O662" s="494">
        <f>+IF(OR($Q662=Parametres!$G$2,$Q662=Parametres!$G$3),J662,D662)</f>
        <v>0</v>
      </c>
      <c r="P662" s="151">
        <f>+IF(OR($Q662=Parametres!$G$2,$Q662=Parametres!$G$3),K662,E662)</f>
        <v>-1</v>
      </c>
      <c r="Q662" s="150" t="str">
        <f t="shared" si="52"/>
        <v>10-Compte compteur</v>
      </c>
      <c r="R662" s="149" t="str">
        <f t="shared" si="53"/>
        <v>406G</v>
      </c>
      <c r="S662" s="150" t="str">
        <f t="shared" si="54"/>
        <v>_</v>
      </c>
      <c r="T662" s="152" t="str">
        <f>+VLOOKUP($L662,Data_Validation!$A:$D,1,0)</f>
        <v>406G@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2" t="s">
        <v>2043</v>
      </c>
      <c r="B663" s="662" t="s">
        <v>2044</v>
      </c>
      <c r="C663" s="663"/>
      <c r="D663" s="663"/>
      <c r="E663" s="663"/>
      <c r="F663" s="662" t="s">
        <v>4</v>
      </c>
      <c r="G663" s="662" t="s">
        <v>2030</v>
      </c>
      <c r="H663" s="657" t="s">
        <v>2997</v>
      </c>
      <c r="I663" s="656">
        <v>-3</v>
      </c>
      <c r="J663" s="656">
        <v>-1</v>
      </c>
      <c r="K663" s="656">
        <v>-4</v>
      </c>
      <c r="L663" s="149" t="str">
        <f t="shared" si="50"/>
        <v>407C@</v>
      </c>
      <c r="M663" s="150" t="str">
        <f t="shared" si="51"/>
        <v># OF VTES -M3 COMPETITION</v>
      </c>
      <c r="N663" s="151">
        <f>+IF(OR($Q663=Parametres!$G$2,$Q663=Parametres!$G$3),I663,C663)</f>
        <v>-3</v>
      </c>
      <c r="O663" s="151">
        <f>+IF(OR($Q663=Parametres!$G$2,$Q663=Parametres!$G$3),J663,D663)</f>
        <v>-1</v>
      </c>
      <c r="P663" s="151">
        <f>+IF(OR($Q663=Parametres!$G$2,$Q663=Parametres!$G$3),K663,E663)</f>
        <v>-4</v>
      </c>
      <c r="Q663" s="150" t="str">
        <f t="shared" si="52"/>
        <v>10-Compte compteur</v>
      </c>
      <c r="R663" s="149" t="str">
        <f t="shared" si="53"/>
        <v>407C</v>
      </c>
      <c r="S663" s="150" t="str">
        <f t="shared" si="54"/>
        <v>_</v>
      </c>
      <c r="T663" s="152" t="str">
        <f>+VLOOKUP($L663,Data_Validation!$A:$D,1,0)</f>
        <v>407C@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2" t="s">
        <v>2875</v>
      </c>
      <c r="B664" s="662" t="s">
        <v>2878</v>
      </c>
      <c r="C664" s="663"/>
      <c r="D664" s="663"/>
      <c r="E664" s="663"/>
      <c r="F664" s="662" t="s">
        <v>4</v>
      </c>
      <c r="G664" s="662" t="s">
        <v>2876</v>
      </c>
      <c r="H664" s="657" t="s">
        <v>2997</v>
      </c>
      <c r="I664" s="656">
        <v>-7</v>
      </c>
      <c r="J664" s="656">
        <v>-2</v>
      </c>
      <c r="K664" s="656">
        <v>-9</v>
      </c>
      <c r="L664" s="149" t="str">
        <f t="shared" si="50"/>
        <v>409@</v>
      </c>
      <c r="M664" s="150" t="str">
        <f t="shared" si="51"/>
        <v>X2 XDRIVE28I</v>
      </c>
      <c r="N664" s="151">
        <f>+IF(OR($Q664=Parametres!$G$2,$Q664=Parametres!$G$3),I664,C664)</f>
        <v>-7</v>
      </c>
      <c r="O664" s="151">
        <f>+IF(OR($Q664=Parametres!$G$2,$Q664=Parametres!$G$3),J664,D664)</f>
        <v>-2</v>
      </c>
      <c r="P664" s="151">
        <f>+IF(OR($Q664=Parametres!$G$2,$Q664=Parametres!$G$3),K664,E664)</f>
        <v>-9</v>
      </c>
      <c r="Q664" s="150" t="str">
        <f t="shared" si="52"/>
        <v>10-Compte compteur</v>
      </c>
      <c r="R664" s="149" t="str">
        <f t="shared" si="53"/>
        <v>409</v>
      </c>
      <c r="S664" s="150" t="str">
        <f t="shared" si="54"/>
        <v>_</v>
      </c>
      <c r="T664" s="152" t="str">
        <f>+VLOOKUP($L664,Data_Validation!$A:$D,1,0)</f>
        <v>409@</v>
      </c>
      <c r="U664" s="152" t="str">
        <f>+VLOOKUP($L664,Data_Validation!$A:$D,3,0)</f>
        <v>Véhicules neufs</v>
      </c>
      <c r="V664" s="152" t="str">
        <f>+VLOOKUP($L664,Data_Validation!$A:$D,4,0)</f>
        <v>Camions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2" t="s">
        <v>2864</v>
      </c>
      <c r="B665" s="662" t="s">
        <v>2867</v>
      </c>
      <c r="C665" s="663"/>
      <c r="D665" s="663"/>
      <c r="E665" s="663"/>
      <c r="F665" s="662" t="s">
        <v>4</v>
      </c>
      <c r="G665" s="662" t="s">
        <v>2865</v>
      </c>
      <c r="H665" s="657" t="s">
        <v>2997</v>
      </c>
      <c r="I665" s="656">
        <v>-5</v>
      </c>
      <c r="J665" s="656">
        <v>0</v>
      </c>
      <c r="K665" s="656">
        <v>-5</v>
      </c>
      <c r="L665" s="149" t="str">
        <f t="shared" si="50"/>
        <v>409A@</v>
      </c>
      <c r="M665" s="150" t="str">
        <f t="shared" si="51"/>
        <v>X2 M35I XDRIVE</v>
      </c>
      <c r="N665" s="151">
        <f>+IF(OR($Q665=Parametres!$G$2,$Q665=Parametres!$G$3),I665,C665)</f>
        <v>-5</v>
      </c>
      <c r="O665" s="151">
        <f>+IF(OR($Q665=Parametres!$G$2,$Q665=Parametres!$G$3),J665,D665)</f>
        <v>0</v>
      </c>
      <c r="P665" s="151">
        <f>+IF(OR($Q665=Parametres!$G$2,$Q665=Parametres!$G$3),K665,E665)</f>
        <v>-5</v>
      </c>
      <c r="Q665" s="150" t="str">
        <f t="shared" si="52"/>
        <v>10-Compte compteur</v>
      </c>
      <c r="R665" s="149" t="str">
        <f t="shared" si="53"/>
        <v>409A</v>
      </c>
      <c r="S665" s="150" t="str">
        <f t="shared" si="54"/>
        <v>_</v>
      </c>
      <c r="T665" s="152" t="str">
        <f>+VLOOKUP($L665,Data_Validation!$A:$D,1,0)</f>
        <v>409A@</v>
      </c>
      <c r="U665" s="152" t="str">
        <f>+VLOOKUP($L665,Data_Validation!$A:$D,3,0)</f>
        <v>Véhicules neufs</v>
      </c>
      <c r="V665" s="152" t="str">
        <f>+VLOOKUP($L665,Data_Validation!$A:$D,4,0)</f>
        <v>Camions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2" t="s">
        <v>2964</v>
      </c>
      <c r="B666" s="662" t="s">
        <v>2967</v>
      </c>
      <c r="C666" s="663"/>
      <c r="D666" s="663"/>
      <c r="E666" s="663"/>
      <c r="F666" s="662" t="s">
        <v>4</v>
      </c>
      <c r="G666" s="662" t="s">
        <v>2965</v>
      </c>
      <c r="H666" s="657" t="s">
        <v>2997</v>
      </c>
      <c r="I666" s="656">
        <v>-7</v>
      </c>
      <c r="J666" s="656">
        <v>-2</v>
      </c>
      <c r="K666" s="656">
        <v>-9</v>
      </c>
      <c r="L666" s="149" t="str">
        <f t="shared" si="50"/>
        <v>409C@</v>
      </c>
      <c r="M666" s="150" t="str">
        <f t="shared" si="51"/>
        <v>X3 M50 XDRIVE</v>
      </c>
      <c r="N666" s="151">
        <f>+IF(OR($Q666=Parametres!$G$2,$Q666=Parametres!$G$3),I666,C666)</f>
        <v>-7</v>
      </c>
      <c r="O666" s="151">
        <f>+IF(OR($Q666=Parametres!$G$2,$Q666=Parametres!$G$3),J666,D666)</f>
        <v>-2</v>
      </c>
      <c r="P666" s="151">
        <f>+IF(OR($Q666=Parametres!$G$2,$Q666=Parametres!$G$3),K666,E666)</f>
        <v>-9</v>
      </c>
      <c r="Q666" s="150" t="str">
        <f t="shared" si="52"/>
        <v>10-Compte compteur</v>
      </c>
      <c r="R666" s="149" t="str">
        <f t="shared" si="53"/>
        <v>409C</v>
      </c>
      <c r="S666" s="150" t="str">
        <f t="shared" si="54"/>
        <v>_</v>
      </c>
      <c r="T666" s="152" t="str">
        <f>+VLOOKUP($L666,Data_Validation!$A:$D,1,0)</f>
        <v>409C@</v>
      </c>
      <c r="U666" s="152" t="str">
        <f>+VLOOKUP($L666,Data_Validation!$A:$D,3,0)</f>
        <v>Véhicules neufs</v>
      </c>
      <c r="V666" s="152" t="str">
        <f>+VLOOKUP($L666,Data_Validation!$A:$D,4,0)</f>
        <v>Camions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2" t="s">
        <v>1037</v>
      </c>
      <c r="B667" s="662" t="s">
        <v>700</v>
      </c>
      <c r="C667" s="663"/>
      <c r="D667" s="663"/>
      <c r="E667" s="663"/>
      <c r="F667" s="662" t="s">
        <v>4</v>
      </c>
      <c r="G667" s="662" t="s">
        <v>612</v>
      </c>
      <c r="H667" s="657" t="s">
        <v>2997</v>
      </c>
      <c r="I667" s="656">
        <v>-4</v>
      </c>
      <c r="J667" s="656">
        <v>0</v>
      </c>
      <c r="K667" s="656">
        <v>-4</v>
      </c>
      <c r="L667" s="149" t="str">
        <f t="shared" si="50"/>
        <v>411C@</v>
      </c>
      <c r="M667" s="150" t="str">
        <f t="shared" si="51"/>
        <v># DE VTE - 330I XDRIVE SEDAN</v>
      </c>
      <c r="N667" s="151">
        <f>+IF(OR($Q667=Parametres!$G$2,$Q667=Parametres!$G$3),I667,C667)</f>
        <v>-4</v>
      </c>
      <c r="O667" s="151">
        <f>+IF(OR($Q667=Parametres!$G$2,$Q667=Parametres!$G$3),J667,D667)</f>
        <v>0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411C</v>
      </c>
      <c r="S667" s="150" t="str">
        <f t="shared" si="54"/>
        <v>_</v>
      </c>
      <c r="T667" s="152" t="str">
        <f>+VLOOKUP($L667,Data_Validation!$A:$D,1,0)</f>
        <v>411C@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2" t="s">
        <v>1978</v>
      </c>
      <c r="B668" s="662" t="s">
        <v>1981</v>
      </c>
      <c r="C668" s="663"/>
      <c r="D668" s="663"/>
      <c r="E668" s="663"/>
      <c r="F668" s="662" t="s">
        <v>4</v>
      </c>
      <c r="G668" s="662" t="s">
        <v>1979</v>
      </c>
      <c r="H668" s="657" t="s">
        <v>2997</v>
      </c>
      <c r="I668" s="656">
        <v>-5</v>
      </c>
      <c r="J668" s="656">
        <v>0</v>
      </c>
      <c r="K668" s="656">
        <v>-5</v>
      </c>
      <c r="L668" s="149" t="str">
        <f t="shared" si="50"/>
        <v>412C@</v>
      </c>
      <c r="M668" s="150" t="str">
        <f t="shared" si="51"/>
        <v>M340I XDRIVE</v>
      </c>
      <c r="N668" s="151">
        <f>+IF(OR($Q668=Parametres!$G$2,$Q668=Parametres!$G$3),I668,C668)</f>
        <v>-5</v>
      </c>
      <c r="O668" s="472">
        <f>+IF(OR($Q668=Parametres!$G$2,$Q668=Parametres!$G$3),J668,D668)</f>
        <v>0</v>
      </c>
      <c r="P668" s="151">
        <f>+IF(OR($Q668=Parametres!$G$2,$Q668=Parametres!$G$3),K668,E668)</f>
        <v>-5</v>
      </c>
      <c r="Q668" s="150" t="str">
        <f t="shared" si="52"/>
        <v>10-Compte compteur</v>
      </c>
      <c r="R668" s="149" t="str">
        <f t="shared" si="53"/>
        <v>412C</v>
      </c>
      <c r="S668" s="150" t="str">
        <f t="shared" si="54"/>
        <v>_</v>
      </c>
      <c r="T668" s="152" t="str">
        <f>+VLOOKUP($L668,Data_Validation!$A:$D,1,0)</f>
        <v>412C@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2" t="s">
        <v>1496</v>
      </c>
      <c r="B669" s="662" t="s">
        <v>1497</v>
      </c>
      <c r="C669" s="663"/>
      <c r="D669" s="663"/>
      <c r="E669" s="663"/>
      <c r="F669" s="662" t="s">
        <v>4</v>
      </c>
      <c r="G669" s="662" t="s">
        <v>1379</v>
      </c>
      <c r="H669" s="657" t="s">
        <v>2997</v>
      </c>
      <c r="I669" s="656">
        <v>-1</v>
      </c>
      <c r="J669" s="656">
        <v>0</v>
      </c>
      <c r="K669" s="656">
        <v>-1</v>
      </c>
      <c r="L669" s="149" t="str">
        <f t="shared" si="50"/>
        <v>414D@</v>
      </c>
      <c r="M669" s="150" t="str">
        <f t="shared" si="51"/>
        <v># DE VTE - 430I XDRIVE GRAN COUPE</v>
      </c>
      <c r="N669" s="151">
        <f>+IF(OR($Q669=Parametres!$G$2,$Q669=Parametres!$G$3),I669,C669)</f>
        <v>-1</v>
      </c>
      <c r="O669" s="472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414D</v>
      </c>
      <c r="S669" s="150" t="str">
        <f t="shared" si="54"/>
        <v>_</v>
      </c>
      <c r="T669" s="152" t="str">
        <f>+VLOOKUP($L669,Data_Validation!$A:$D,1,0)</f>
        <v>414D@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2" t="s">
        <v>2890</v>
      </c>
      <c r="B670" s="662" t="s">
        <v>2891</v>
      </c>
      <c r="C670" s="663"/>
      <c r="D670" s="663"/>
      <c r="E670" s="663"/>
      <c r="F670" s="662" t="s">
        <v>4</v>
      </c>
      <c r="G670" s="662" t="s">
        <v>2883</v>
      </c>
      <c r="H670" s="657" t="s">
        <v>2997</v>
      </c>
      <c r="I670" s="656">
        <v>-1</v>
      </c>
      <c r="J670" s="656">
        <v>0</v>
      </c>
      <c r="K670" s="656">
        <v>-1</v>
      </c>
      <c r="L670" s="149" t="str">
        <f t="shared" si="50"/>
        <v>415A@</v>
      </c>
      <c r="M670" s="150" t="str">
        <f t="shared" si="51"/>
        <v># DE VTE - 750e xDRIVE</v>
      </c>
      <c r="N670" s="151">
        <f>+IF(OR($Q670=Parametres!$G$2,$Q670=Parametres!$G$3),I670,C670)</f>
        <v>-1</v>
      </c>
      <c r="O670" s="151">
        <f>+IF(OR($Q670=Parametres!$G$2,$Q670=Parametres!$G$3),J670,D670)</f>
        <v>0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415A</v>
      </c>
      <c r="S670" s="150" t="str">
        <f t="shared" si="54"/>
        <v>_</v>
      </c>
      <c r="T670" s="152" t="str">
        <f>+VLOOKUP($L670,Data_Validation!$A:$D,1,0)</f>
        <v>415A@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2" t="s">
        <v>2503</v>
      </c>
      <c r="B671" s="662" t="s">
        <v>2504</v>
      </c>
      <c r="C671" s="663"/>
      <c r="D671" s="663"/>
      <c r="E671" s="663"/>
      <c r="F671" s="662" t="s">
        <v>4</v>
      </c>
      <c r="G671" s="662" t="s">
        <v>2496</v>
      </c>
      <c r="H671" s="657" t="s">
        <v>2997</v>
      </c>
      <c r="I671" s="656">
        <v>-1</v>
      </c>
      <c r="J671" s="656">
        <v>0</v>
      </c>
      <c r="K671" s="656">
        <v>-1</v>
      </c>
      <c r="L671" s="149" t="str">
        <f t="shared" si="50"/>
        <v>415B@</v>
      </c>
      <c r="M671" s="150" t="str">
        <f t="shared" si="51"/>
        <v># DE VTE - i7 xDRIVE60</v>
      </c>
      <c r="N671" s="151">
        <f>+IF(OR($Q671=Parametres!$G$2,$Q671=Parametres!$G$3),I671,C671)</f>
        <v>-1</v>
      </c>
      <c r="O671" s="472">
        <f>+IF(OR($Q671=Parametres!$G$2,$Q671=Parametres!$G$3),J671,D671)</f>
        <v>0</v>
      </c>
      <c r="P671" s="151">
        <f>+IF(OR($Q671=Parametres!$G$2,$Q671=Parametres!$G$3),K671,E671)</f>
        <v>-1</v>
      </c>
      <c r="Q671" s="150" t="str">
        <f t="shared" si="52"/>
        <v>10-Compte compteur</v>
      </c>
      <c r="R671" s="149" t="str">
        <f t="shared" si="53"/>
        <v>415B</v>
      </c>
      <c r="S671" s="150" t="str">
        <f t="shared" si="54"/>
        <v>_</v>
      </c>
      <c r="T671" s="152" t="str">
        <f>+VLOOKUP($L671,Data_Validation!$A:$D,1,0)</f>
        <v>415B@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2" t="s">
        <v>2979</v>
      </c>
      <c r="B672" s="662" t="s">
        <v>2980</v>
      </c>
      <c r="C672" s="663"/>
      <c r="D672" s="663"/>
      <c r="E672" s="663"/>
      <c r="F672" s="662" t="s">
        <v>4</v>
      </c>
      <c r="G672" s="662" t="s">
        <v>2976</v>
      </c>
      <c r="H672" s="657" t="s">
        <v>2997</v>
      </c>
      <c r="I672" s="656">
        <v>-1</v>
      </c>
      <c r="J672" s="656">
        <v>0</v>
      </c>
      <c r="K672" s="656">
        <v>-1</v>
      </c>
      <c r="L672" s="149" t="str">
        <f t="shared" si="50"/>
        <v>415C@</v>
      </c>
      <c r="M672" s="150" t="str">
        <f t="shared" si="51"/>
        <v># DE VTE - i7 M70 xDRIVE</v>
      </c>
      <c r="N672" s="151">
        <f>+IF(OR($Q672=Parametres!$G$2,$Q672=Parametres!$G$3),I672,C672)</f>
        <v>-1</v>
      </c>
      <c r="O672" s="472">
        <f>+IF(OR($Q672=Parametres!$G$2,$Q672=Parametres!$G$3),J672,D672)</f>
        <v>0</v>
      </c>
      <c r="P672" s="151">
        <f>+IF(OR($Q672=Parametres!$G$2,$Q672=Parametres!$G$3),K672,E672)</f>
        <v>-1</v>
      </c>
      <c r="Q672" s="150" t="str">
        <f t="shared" si="52"/>
        <v>10-Compte compteur</v>
      </c>
      <c r="R672" s="149" t="str">
        <f t="shared" si="53"/>
        <v>415C</v>
      </c>
      <c r="S672" s="150" t="str">
        <f t="shared" si="54"/>
        <v>_</v>
      </c>
      <c r="T672" s="152" t="str">
        <f>+VLOOKUP($L672,Data_Validation!$A:$D,1,0)</f>
        <v>415C@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2" t="s">
        <v>1498</v>
      </c>
      <c r="B673" s="662" t="s">
        <v>702</v>
      </c>
      <c r="C673" s="663"/>
      <c r="D673" s="663"/>
      <c r="E673" s="663"/>
      <c r="F673" s="662" t="s">
        <v>4</v>
      </c>
      <c r="G673" s="662" t="s">
        <v>410</v>
      </c>
      <c r="H673" s="657" t="s">
        <v>2997</v>
      </c>
      <c r="I673" s="656">
        <v>-40</v>
      </c>
      <c r="J673" s="656">
        <v>0</v>
      </c>
      <c r="K673" s="656">
        <v>-40</v>
      </c>
      <c r="L673" s="149" t="str">
        <f t="shared" si="50"/>
        <v>416@</v>
      </c>
      <c r="M673" s="150" t="str">
        <f t="shared" si="51"/>
        <v># DE VTE - X1 XDRIVE 28I</v>
      </c>
      <c r="N673" s="151">
        <f>+IF(OR($Q673=Parametres!$G$2,$Q673=Parametres!$G$3),I673,C673)</f>
        <v>-40</v>
      </c>
      <c r="O673" s="472">
        <f>+IF(OR($Q673=Parametres!$G$2,$Q673=Parametres!$G$3),J673,D673)</f>
        <v>0</v>
      </c>
      <c r="P673" s="151">
        <f>+IF(OR($Q673=Parametres!$G$2,$Q673=Parametres!$G$3),K673,E673)</f>
        <v>-40</v>
      </c>
      <c r="Q673" s="150" t="str">
        <f t="shared" si="52"/>
        <v>10-Compte compteur</v>
      </c>
      <c r="R673" s="149" t="str">
        <f t="shared" si="53"/>
        <v>416</v>
      </c>
      <c r="S673" s="150" t="str">
        <f t="shared" si="54"/>
        <v>_</v>
      </c>
      <c r="T673" s="152" t="str">
        <f>+VLOOKUP($L673,Data_Validation!$A:$D,1,0)</f>
        <v>416@</v>
      </c>
      <c r="U673" s="152" t="str">
        <f>+VLOOKUP($L673,Data_Validation!$A:$D,3,0)</f>
        <v>Véhicules neufs</v>
      </c>
      <c r="V673" s="152" t="str">
        <f>+VLOOKUP($L673,Data_Validation!$A:$D,4,0)</f>
        <v>Camions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2" t="s">
        <v>2534</v>
      </c>
      <c r="B674" s="662" t="s">
        <v>2535</v>
      </c>
      <c r="C674" s="663"/>
      <c r="D674" s="663"/>
      <c r="E674" s="663"/>
      <c r="F674" s="662" t="s">
        <v>4</v>
      </c>
      <c r="G674" s="662" t="s">
        <v>2527</v>
      </c>
      <c r="H674" s="657" t="s">
        <v>2997</v>
      </c>
      <c r="I674" s="656">
        <v>-4</v>
      </c>
      <c r="J674" s="656">
        <v>-1</v>
      </c>
      <c r="K674" s="656">
        <v>-5</v>
      </c>
      <c r="L674" s="149" t="str">
        <f t="shared" si="50"/>
        <v>416A@</v>
      </c>
      <c r="M674" s="150" t="str">
        <f t="shared" si="51"/>
        <v># DE VTE - X1 M35i xDRIVE</v>
      </c>
      <c r="N674" s="151">
        <f>+IF(OR($Q674=Parametres!$G$2,$Q674=Parametres!$G$3),I674,C674)</f>
        <v>-4</v>
      </c>
      <c r="O674" s="151">
        <f>+IF(OR($Q674=Parametres!$G$2,$Q674=Parametres!$G$3),J674,D674)</f>
        <v>-1</v>
      </c>
      <c r="P674" s="151">
        <f>+IF(OR($Q674=Parametres!$G$2,$Q674=Parametres!$G$3),K674,E674)</f>
        <v>-5</v>
      </c>
      <c r="Q674" s="150" t="str">
        <f t="shared" si="52"/>
        <v>10-Compte compteur</v>
      </c>
      <c r="R674" s="149" t="str">
        <f t="shared" si="53"/>
        <v>416A</v>
      </c>
      <c r="S674" s="150" t="str">
        <f t="shared" si="54"/>
        <v>_</v>
      </c>
      <c r="T674" s="152" t="str">
        <f>+VLOOKUP($L674,Data_Validation!$A:$D,1,0)</f>
        <v>416A@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2" t="s">
        <v>1500</v>
      </c>
      <c r="B675" s="662" t="s">
        <v>705</v>
      </c>
      <c r="C675" s="663"/>
      <c r="D675" s="663"/>
      <c r="E675" s="663"/>
      <c r="F675" s="662" t="s">
        <v>4</v>
      </c>
      <c r="G675" s="662" t="s">
        <v>616</v>
      </c>
      <c r="H675" s="657" t="s">
        <v>2997</v>
      </c>
      <c r="I675" s="656">
        <v>-39</v>
      </c>
      <c r="J675" s="656">
        <v>-3</v>
      </c>
      <c r="K675" s="656">
        <v>-42</v>
      </c>
      <c r="L675" s="149" t="str">
        <f t="shared" si="50"/>
        <v>418@</v>
      </c>
      <c r="M675" s="150" t="str">
        <f t="shared" si="51"/>
        <v># DE VTE - AUTRES MODELES BMW</v>
      </c>
      <c r="N675" s="151">
        <f>+IF(OR($Q675=Parametres!$G$2,$Q675=Parametres!$G$3),I675,C675)</f>
        <v>-39</v>
      </c>
      <c r="O675" s="151">
        <f>+IF(OR($Q675=Parametres!$G$2,$Q675=Parametres!$G$3),J675,D675)</f>
        <v>-3</v>
      </c>
      <c r="P675" s="151">
        <f>+IF(OR($Q675=Parametres!$G$2,$Q675=Parametres!$G$3),K675,E675)</f>
        <v>-42</v>
      </c>
      <c r="Q675" s="150" t="str">
        <f t="shared" si="52"/>
        <v>10-Compte compteur</v>
      </c>
      <c r="R675" s="149" t="str">
        <f t="shared" si="53"/>
        <v>418</v>
      </c>
      <c r="S675" s="150" t="str">
        <f t="shared" si="54"/>
        <v>_</v>
      </c>
      <c r="T675" s="152" t="str">
        <f>+VLOOKUP($L675,Data_Validation!$A:$D,1,0)</f>
        <v>418@</v>
      </c>
      <c r="U675" s="152" t="str">
        <f>+VLOOKUP($L675,Data_Validation!$A:$D,3,0)</f>
        <v>Véhicules neufs</v>
      </c>
      <c r="V675" s="152" t="str">
        <f>+VLOOKUP($L675,Data_Validation!$A:$D,4,0)</f>
        <v>Ex-Démos et courtoisies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2" t="s">
        <v>1501</v>
      </c>
      <c r="B676" s="662" t="s">
        <v>706</v>
      </c>
      <c r="C676" s="663"/>
      <c r="D676" s="663"/>
      <c r="E676" s="663"/>
      <c r="F676" s="662" t="s">
        <v>4</v>
      </c>
      <c r="G676" s="662" t="s">
        <v>616</v>
      </c>
      <c r="H676" s="657" t="s">
        <v>2997</v>
      </c>
      <c r="I676" s="656">
        <v>-2</v>
      </c>
      <c r="J676" s="656">
        <v>0</v>
      </c>
      <c r="K676" s="656">
        <v>-2</v>
      </c>
      <c r="L676" s="149" t="str">
        <f t="shared" si="50"/>
        <v>418A@</v>
      </c>
      <c r="M676" s="150" t="str">
        <f t="shared" si="51"/>
        <v># DE VTE - AUTRES MODELES BMW CAMION</v>
      </c>
      <c r="N676" s="151">
        <f>+IF(OR($Q676=Parametres!$G$2,$Q676=Parametres!$G$3),I676,C676)</f>
        <v>-2</v>
      </c>
      <c r="O676" s="151">
        <f>+IF(OR($Q676=Parametres!$G$2,$Q676=Parametres!$G$3),J676,D676)</f>
        <v>0</v>
      </c>
      <c r="P676" s="151">
        <f>+IF(OR($Q676=Parametres!$G$2,$Q676=Parametres!$G$3),K676,E676)</f>
        <v>-2</v>
      </c>
      <c r="Q676" s="150" t="str">
        <f t="shared" si="52"/>
        <v>10-Compte compteur</v>
      </c>
      <c r="R676" s="149" t="str">
        <f t="shared" si="53"/>
        <v>418</v>
      </c>
      <c r="S676" s="150" t="str">
        <f t="shared" si="54"/>
        <v>_</v>
      </c>
      <c r="T676" s="152" t="str">
        <f>+VLOOKUP($L676,Data_Validation!$A:$D,1,0)</f>
        <v>418A@</v>
      </c>
      <c r="U676" s="152" t="str">
        <f>+VLOOKUP($L676,Data_Validation!$A:$D,3,0)</f>
        <v>Véhicules neufs</v>
      </c>
      <c r="V676" s="152" t="str">
        <f>+VLOOKUP($L676,Data_Validation!$A:$D,4,0)</f>
        <v>Ex-Démos et courtoisies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2" t="s">
        <v>1502</v>
      </c>
      <c r="B677" s="662" t="s">
        <v>707</v>
      </c>
      <c r="C677" s="663"/>
      <c r="D677" s="663"/>
      <c r="E677" s="663"/>
      <c r="F677" s="662" t="s">
        <v>4</v>
      </c>
      <c r="G677" s="662" t="s">
        <v>423</v>
      </c>
      <c r="H677" s="657" t="s">
        <v>2997</v>
      </c>
      <c r="I677" s="656">
        <v>-1</v>
      </c>
      <c r="J677" s="656">
        <v>0</v>
      </c>
      <c r="K677" s="656">
        <v>-1</v>
      </c>
      <c r="L677" s="149" t="str">
        <f t="shared" si="50"/>
        <v>419@</v>
      </c>
      <c r="M677" s="150" t="str">
        <f t="shared" si="51"/>
        <v># DE VTE - FLEET VOITURE BMW</v>
      </c>
      <c r="N677" s="151">
        <f>+IF(OR($Q677=Parametres!$G$2,$Q677=Parametres!$G$3),I677,C677)</f>
        <v>-1</v>
      </c>
      <c r="O677" s="151">
        <f>+IF(OR($Q677=Parametres!$G$2,$Q677=Parametres!$G$3),J677,D677)</f>
        <v>0</v>
      </c>
      <c r="P677" s="151">
        <f>+IF(OR($Q677=Parametres!$G$2,$Q677=Parametres!$G$3),K677,E677)</f>
        <v>-1</v>
      </c>
      <c r="Q677" s="150" t="str">
        <f t="shared" si="52"/>
        <v>10-Compte compteur</v>
      </c>
      <c r="R677" s="149" t="str">
        <f t="shared" si="53"/>
        <v>419</v>
      </c>
      <c r="S677" s="150" t="str">
        <f t="shared" si="54"/>
        <v>_</v>
      </c>
      <c r="T677" s="152" t="str">
        <f>+VLOOKUP($L677,Data_Validation!$A:$D,1,0)</f>
        <v>419@</v>
      </c>
      <c r="U677" s="152" t="str">
        <f>+VLOOKUP($L677,Data_Validation!$A:$D,3,0)</f>
        <v>Véhicules neufs</v>
      </c>
      <c r="V677" s="152" t="str">
        <f>+VLOOKUP($L677,Data_Validation!$A:$D,4,0)</f>
        <v>Flottes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2" t="s">
        <v>1504</v>
      </c>
      <c r="B678" s="662" t="s">
        <v>709</v>
      </c>
      <c r="C678" s="663"/>
      <c r="D678" s="663"/>
      <c r="E678" s="663"/>
      <c r="F678" s="662" t="s">
        <v>4</v>
      </c>
      <c r="G678" s="662" t="s">
        <v>419</v>
      </c>
      <c r="H678" s="657" t="s">
        <v>2997</v>
      </c>
      <c r="I678" s="656">
        <v>-1</v>
      </c>
      <c r="J678" s="656">
        <v>0</v>
      </c>
      <c r="K678" s="656">
        <v>-1</v>
      </c>
      <c r="L678" s="149" t="str">
        <f t="shared" si="50"/>
        <v>422A@</v>
      </c>
      <c r="M678" s="150" t="str">
        <f t="shared" si="51"/>
        <v># DE VTE - X6 XDRIVE 35I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422A</v>
      </c>
      <c r="S678" s="150" t="str">
        <f t="shared" si="54"/>
        <v>_</v>
      </c>
      <c r="T678" s="152" t="str">
        <f>+VLOOKUP($L678,Data_Validation!$A:$D,1,0)</f>
        <v>422A@</v>
      </c>
      <c r="U678" s="152" t="str">
        <f>+VLOOKUP($L678,Data_Validation!$A:$D,3,0)</f>
        <v>Véhicules neufs</v>
      </c>
      <c r="V678" s="152" t="str">
        <f>+VLOOKUP($L678,Data_Validation!$A:$D,4,0)</f>
        <v>Camions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2" t="s">
        <v>2553</v>
      </c>
      <c r="B679" s="662" t="s">
        <v>2554</v>
      </c>
      <c r="C679" s="663"/>
      <c r="D679" s="663"/>
      <c r="E679" s="663"/>
      <c r="F679" s="662" t="s">
        <v>4</v>
      </c>
      <c r="G679" s="662" t="s">
        <v>2550</v>
      </c>
      <c r="H679" s="657" t="s">
        <v>2997</v>
      </c>
      <c r="I679" s="656">
        <v>-1</v>
      </c>
      <c r="J679" s="656">
        <v>0</v>
      </c>
      <c r="K679" s="656">
        <v>-1</v>
      </c>
      <c r="L679" s="149" t="str">
        <f t="shared" si="50"/>
        <v>422C@</v>
      </c>
      <c r="M679" s="150" t="str">
        <f t="shared" si="51"/>
        <v># DE VTE - X6 M60i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422C</v>
      </c>
      <c r="S679" s="150" t="str">
        <f t="shared" si="54"/>
        <v>_</v>
      </c>
      <c r="T679" s="152" t="str">
        <f>+VLOOKUP($L679,Data_Validation!$A:$D,1,0)</f>
        <v>422C@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1505</v>
      </c>
      <c r="B680" s="662" t="s">
        <v>711</v>
      </c>
      <c r="C680" s="663"/>
      <c r="D680" s="663"/>
      <c r="E680" s="663"/>
      <c r="F680" s="662" t="s">
        <v>4</v>
      </c>
      <c r="G680" s="662" t="s">
        <v>617</v>
      </c>
      <c r="H680" s="657" t="s">
        <v>2997</v>
      </c>
      <c r="I680" s="656">
        <v>-26</v>
      </c>
      <c r="J680" s="656">
        <v>-1</v>
      </c>
      <c r="K680" s="656">
        <v>-27</v>
      </c>
      <c r="L680" s="149" t="str">
        <f t="shared" si="50"/>
        <v>423C@</v>
      </c>
      <c r="M680" s="150" t="str">
        <f t="shared" si="51"/>
        <v># DE VTE - X3 XDRIVE 30E</v>
      </c>
      <c r="N680" s="151">
        <f>+IF(OR($Q680=Parametres!$G$2,$Q680=Parametres!$G$3),I680,C680)</f>
        <v>-26</v>
      </c>
      <c r="O680" s="151">
        <f>+IF(OR($Q680=Parametres!$G$2,$Q680=Parametres!$G$3),J680,D680)</f>
        <v>-1</v>
      </c>
      <c r="P680" s="151">
        <f>+IF(OR($Q680=Parametres!$G$2,$Q680=Parametres!$G$3),K680,E680)</f>
        <v>-27</v>
      </c>
      <c r="Q680" s="150" t="str">
        <f t="shared" si="52"/>
        <v>10-Compte compteur</v>
      </c>
      <c r="R680" s="149" t="str">
        <f t="shared" si="53"/>
        <v>423C</v>
      </c>
      <c r="S680" s="150" t="str">
        <f t="shared" si="54"/>
        <v>_</v>
      </c>
      <c r="T680" s="152" t="str">
        <f>+VLOOKUP($L680,Data_Validation!$A:$D,1,0)</f>
        <v>423C@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1506</v>
      </c>
      <c r="B681" s="662" t="s">
        <v>712</v>
      </c>
      <c r="C681" s="663"/>
      <c r="D681" s="663"/>
      <c r="E681" s="663"/>
      <c r="F681" s="662" t="s">
        <v>4</v>
      </c>
      <c r="G681" s="662" t="s">
        <v>618</v>
      </c>
      <c r="H681" s="657" t="s">
        <v>2997</v>
      </c>
      <c r="I681" s="656">
        <v>-10</v>
      </c>
      <c r="J681" s="656">
        <v>-1</v>
      </c>
      <c r="K681" s="656">
        <v>-11</v>
      </c>
      <c r="L681" s="149" t="str">
        <f t="shared" si="50"/>
        <v>423D@</v>
      </c>
      <c r="M681" s="150" t="str">
        <f t="shared" si="51"/>
        <v># DE VTE - X5 XDRIVE 35I/ X5 XDRIVE 40I</v>
      </c>
      <c r="N681" s="151">
        <f>+IF(OR($Q681=Parametres!$G$2,$Q681=Parametres!$G$3),I681,C681)</f>
        <v>-10</v>
      </c>
      <c r="O681" s="151">
        <f>+IF(OR($Q681=Parametres!$G$2,$Q681=Parametres!$G$3),J681,D681)</f>
        <v>-1</v>
      </c>
      <c r="P681" s="151">
        <f>+IF(OR($Q681=Parametres!$G$2,$Q681=Parametres!$G$3),K681,E681)</f>
        <v>-11</v>
      </c>
      <c r="Q681" s="150" t="str">
        <f t="shared" si="52"/>
        <v>10-Compte compteur</v>
      </c>
      <c r="R681" s="149" t="str">
        <f t="shared" si="53"/>
        <v>423D</v>
      </c>
      <c r="S681" s="150" t="str">
        <f t="shared" si="54"/>
        <v>_</v>
      </c>
      <c r="T681" s="152" t="str">
        <f>+VLOOKUP($L681,Data_Validation!$A:$D,1,0)</f>
        <v>423D@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2489</v>
      </c>
      <c r="B682" s="662" t="s">
        <v>2490</v>
      </c>
      <c r="C682" s="663"/>
      <c r="D682" s="663"/>
      <c r="E682" s="663"/>
      <c r="F682" s="662" t="s">
        <v>4</v>
      </c>
      <c r="G682" s="662" t="s">
        <v>2486</v>
      </c>
      <c r="H682" s="657" t="s">
        <v>2997</v>
      </c>
      <c r="I682" s="656">
        <v>-7</v>
      </c>
      <c r="J682" s="656">
        <v>0</v>
      </c>
      <c r="K682" s="656">
        <v>-7</v>
      </c>
      <c r="L682" s="149" t="str">
        <f t="shared" si="50"/>
        <v>423F@</v>
      </c>
      <c r="M682" s="150" t="str">
        <f t="shared" si="51"/>
        <v># DE VTE - X5 xDRIVE50e</v>
      </c>
      <c r="N682" s="151">
        <f>+IF(OR($Q682=Parametres!$G$2,$Q682=Parametres!$G$3),I682,C682)</f>
        <v>-7</v>
      </c>
      <c r="O682" s="151">
        <f>+IF(OR($Q682=Parametres!$G$2,$Q682=Parametres!$G$3),J682,D682)</f>
        <v>0</v>
      </c>
      <c r="P682" s="151">
        <f>+IF(OR($Q682=Parametres!$G$2,$Q682=Parametres!$G$3),K682,E682)</f>
        <v>-7</v>
      </c>
      <c r="Q682" s="150" t="str">
        <f t="shared" si="52"/>
        <v>10-Compte compteur</v>
      </c>
      <c r="R682" s="149" t="str">
        <f t="shared" si="53"/>
        <v>423F</v>
      </c>
      <c r="S682" s="150" t="str">
        <f t="shared" si="54"/>
        <v>_</v>
      </c>
      <c r="T682" s="152" t="str">
        <f>+VLOOKUP($L682,Data_Validation!$A:$D,1,0)</f>
        <v>423F@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2536</v>
      </c>
      <c r="B683" s="662" t="s">
        <v>2537</v>
      </c>
      <c r="C683" s="663"/>
      <c r="D683" s="663"/>
      <c r="E683" s="663"/>
      <c r="F683" s="662" t="s">
        <v>4</v>
      </c>
      <c r="G683" s="662" t="s">
        <v>2529</v>
      </c>
      <c r="H683" s="657" t="s">
        <v>2997</v>
      </c>
      <c r="I683" s="656">
        <v>-2</v>
      </c>
      <c r="J683" s="656">
        <v>0</v>
      </c>
      <c r="K683" s="656">
        <v>-2</v>
      </c>
      <c r="L683" s="149" t="str">
        <f t="shared" si="50"/>
        <v>424E@</v>
      </c>
      <c r="M683" s="150" t="str">
        <f t="shared" si="51"/>
        <v># OF VTES -VTE - i5 M60 xDRIVE</v>
      </c>
      <c r="N683" s="151">
        <f>+IF(OR($Q683=Parametres!$G$2,$Q683=Parametres!$G$3),I683,C683)</f>
        <v>-2</v>
      </c>
      <c r="O683" s="151">
        <f>+IF(OR($Q683=Parametres!$G$2,$Q683=Parametres!$G$3),J683,D683)</f>
        <v>0</v>
      </c>
      <c r="P683" s="151">
        <f>+IF(OR($Q683=Parametres!$G$2,$Q683=Parametres!$G$3),K683,E683)</f>
        <v>-2</v>
      </c>
      <c r="Q683" s="150" t="str">
        <f t="shared" si="52"/>
        <v>10-Compte compteur</v>
      </c>
      <c r="R683" s="149" t="str">
        <f t="shared" si="53"/>
        <v>424E</v>
      </c>
      <c r="S683" s="150" t="str">
        <f t="shared" si="54"/>
        <v>_</v>
      </c>
      <c r="T683" s="152" t="str">
        <f>+VLOOKUP($L683,Data_Validation!$A:$D,1,0)</f>
        <v>424E@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2463</v>
      </c>
      <c r="B684" s="662" t="s">
        <v>717</v>
      </c>
      <c r="C684" s="663"/>
      <c r="D684" s="663"/>
      <c r="E684" s="663"/>
      <c r="F684" s="662" t="s">
        <v>4</v>
      </c>
      <c r="G684" s="662" t="s">
        <v>624</v>
      </c>
      <c r="H684" s="657" t="s">
        <v>2997</v>
      </c>
      <c r="I684" s="656">
        <v>-1</v>
      </c>
      <c r="J684" s="656">
        <v>0</v>
      </c>
      <c r="K684" s="656">
        <v>-1</v>
      </c>
      <c r="L684" s="149" t="str">
        <f t="shared" si="50"/>
        <v>429A@</v>
      </c>
      <c r="M684" s="150" t="str">
        <f t="shared" si="51"/>
        <v>X4 XDRIVE 40I/ X4 XDRIVE 30I</v>
      </c>
      <c r="N684" s="151">
        <f>+IF(OR($Q684=Parametres!$G$2,$Q684=Parametres!$G$3),I684,C684)</f>
        <v>-1</v>
      </c>
      <c r="O684" s="151">
        <f>+IF(OR($Q684=Parametres!$G$2,$Q684=Parametres!$G$3),J684,D684)</f>
        <v>0</v>
      </c>
      <c r="P684" s="151">
        <f>+IF(OR($Q684=Parametres!$G$2,$Q684=Parametres!$G$3),K684,E684)</f>
        <v>-1</v>
      </c>
      <c r="Q684" s="150" t="str">
        <f t="shared" si="52"/>
        <v>10-Compte compteur</v>
      </c>
      <c r="R684" s="149" t="str">
        <f t="shared" si="53"/>
        <v>429A</v>
      </c>
      <c r="S684" s="150" t="str">
        <f t="shared" si="54"/>
        <v>_</v>
      </c>
      <c r="T684" s="152" t="str">
        <f>+VLOOKUP($L684,Data_Validation!$A:$D,1,0)</f>
        <v>429A@</v>
      </c>
      <c r="U684" s="152" t="str">
        <f>+VLOOKUP($L684,Data_Validation!$A:$D,3,0)</f>
        <v>Véhicules neufs</v>
      </c>
      <c r="V684" s="152" t="str">
        <f>+VLOOKUP($L684,Data_Validation!$A:$D,4,0)</f>
        <v>Camions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1040</v>
      </c>
      <c r="B685" s="662" t="s">
        <v>718</v>
      </c>
      <c r="C685" s="663"/>
      <c r="D685" s="663"/>
      <c r="E685" s="663"/>
      <c r="F685" s="662" t="s">
        <v>4</v>
      </c>
      <c r="G685" s="662" t="s">
        <v>407</v>
      </c>
      <c r="H685" s="657" t="s">
        <v>2997</v>
      </c>
      <c r="I685" s="656">
        <v>-1</v>
      </c>
      <c r="J685" s="656">
        <v>0</v>
      </c>
      <c r="K685" s="656">
        <v>-1</v>
      </c>
      <c r="L685" s="149" t="str">
        <f t="shared" si="50"/>
        <v>429C@</v>
      </c>
      <c r="M685" s="150" t="str">
        <f t="shared" si="51"/>
        <v># DE VTE - X4 M40I XDRIVE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429C</v>
      </c>
      <c r="S685" s="150" t="str">
        <f t="shared" si="54"/>
        <v>_</v>
      </c>
      <c r="T685" s="152" t="str">
        <f>+VLOOKUP($L685,Data_Validation!$A:$D,1,0)</f>
        <v>429C@</v>
      </c>
      <c r="U685" s="152" t="str">
        <f>+VLOOKUP($L685,Data_Validation!$A:$D,3,0)</f>
        <v>Véhicules neufs</v>
      </c>
      <c r="V685" s="152" t="str">
        <f>+VLOOKUP($L685,Data_Validation!$A:$D,4,0)</f>
        <v>Camions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1879</v>
      </c>
      <c r="B686" s="662" t="s">
        <v>719</v>
      </c>
      <c r="C686" s="663"/>
      <c r="D686" s="663"/>
      <c r="E686" s="663"/>
      <c r="F686" s="662" t="s">
        <v>4</v>
      </c>
      <c r="G686" s="662" t="s">
        <v>625</v>
      </c>
      <c r="H686" s="657" t="s">
        <v>2997</v>
      </c>
      <c r="I686" s="656">
        <v>-4</v>
      </c>
      <c r="J686" s="656">
        <v>0</v>
      </c>
      <c r="K686" s="656">
        <v>-4</v>
      </c>
      <c r="L686" s="149" t="str">
        <f t="shared" si="50"/>
        <v>430@</v>
      </c>
      <c r="M686" s="150" t="str">
        <f t="shared" si="51"/>
        <v># DE VTE - M5 SEDAN</v>
      </c>
      <c r="N686" s="151">
        <f>+IF(OR($Q686=Parametres!$G$2,$Q686=Parametres!$G$3),I686,C686)</f>
        <v>-4</v>
      </c>
      <c r="O686" s="151">
        <f>+IF(OR($Q686=Parametres!$G$2,$Q686=Parametres!$G$3),J686,D686)</f>
        <v>0</v>
      </c>
      <c r="P686" s="151">
        <f>+IF(OR($Q686=Parametres!$G$2,$Q686=Parametres!$G$3),K686,E686)</f>
        <v>-4</v>
      </c>
      <c r="Q686" s="150" t="str">
        <f t="shared" si="52"/>
        <v>10-Compte compteur</v>
      </c>
      <c r="R686" s="149" t="str">
        <f t="shared" si="53"/>
        <v>430</v>
      </c>
      <c r="S686" s="150" t="str">
        <f t="shared" si="54"/>
        <v>_</v>
      </c>
      <c r="T686" s="152" t="str">
        <f>+VLOOKUP($L686,Data_Validation!$A:$D,1,0)</f>
        <v>430@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1510</v>
      </c>
      <c r="B687" s="662" t="s">
        <v>1041</v>
      </c>
      <c r="C687" s="663"/>
      <c r="D687" s="663"/>
      <c r="E687" s="663"/>
      <c r="F687" s="662" t="s">
        <v>4</v>
      </c>
      <c r="G687" s="662" t="s">
        <v>625</v>
      </c>
      <c r="H687" s="657" t="s">
        <v>2997</v>
      </c>
      <c r="I687" s="656">
        <v>-213</v>
      </c>
      <c r="J687" s="656">
        <v>-11</v>
      </c>
      <c r="K687" s="656">
        <v>-224</v>
      </c>
      <c r="L687" s="149" t="str">
        <f t="shared" si="50"/>
        <v>430A@</v>
      </c>
      <c r="M687" s="150" t="str">
        <f t="shared" si="51"/>
        <v># DE VTE - MARQUAGE OTOPROTEC NEUF BMW AUTO</v>
      </c>
      <c r="N687" s="151">
        <f>+IF(OR($Q687=Parametres!$G$2,$Q687=Parametres!$G$3),I687,C687)</f>
        <v>-213</v>
      </c>
      <c r="O687" s="472">
        <f>+IF(OR($Q687=Parametres!$G$2,$Q687=Parametres!$G$3),J687,D687)</f>
        <v>-11</v>
      </c>
      <c r="P687" s="151">
        <f>+IF(OR($Q687=Parametres!$G$2,$Q687=Parametres!$G$3),K687,E687)</f>
        <v>-224</v>
      </c>
      <c r="Q687" s="150" t="str">
        <f t="shared" si="52"/>
        <v>10-Compte compteur</v>
      </c>
      <c r="R687" s="149" t="str">
        <f t="shared" si="53"/>
        <v>430</v>
      </c>
      <c r="S687" s="150" t="str">
        <f t="shared" si="54"/>
        <v>_</v>
      </c>
      <c r="T687" s="152" t="str">
        <f>+VLOOKUP($L687,Data_Validation!$A:$D,1,0)</f>
        <v>430A@</v>
      </c>
      <c r="U687" s="152" t="str">
        <f>+VLOOKUP($L687,Data_Validation!$A:$D,3,0)</f>
        <v>Véhicules neufs</v>
      </c>
      <c r="V687" s="152" t="str">
        <f>+VLOOKUP($L687,Data_Validation!$A:$D,4,0)</f>
        <v>Rev. Autres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1511</v>
      </c>
      <c r="B688" s="662" t="s">
        <v>1042</v>
      </c>
      <c r="C688" s="663"/>
      <c r="D688" s="663"/>
      <c r="E688" s="663"/>
      <c r="F688" s="662" t="s">
        <v>4</v>
      </c>
      <c r="G688" s="662" t="s">
        <v>625</v>
      </c>
      <c r="H688" s="657" t="s">
        <v>2997</v>
      </c>
      <c r="I688" s="656">
        <v>-50</v>
      </c>
      <c r="J688" s="656">
        <v>-4</v>
      </c>
      <c r="K688" s="656">
        <v>-54</v>
      </c>
      <c r="L688" s="149" t="str">
        <f t="shared" si="50"/>
        <v>430C@</v>
      </c>
      <c r="M688" s="150" t="str">
        <f t="shared" si="51"/>
        <v># DE VTE - ACCESSOIRES NEUFS BMW AUTO</v>
      </c>
      <c r="N688" s="151">
        <f>+IF(OR($Q688=Parametres!$G$2,$Q688=Parametres!$G$3),I688,C688)</f>
        <v>-50</v>
      </c>
      <c r="O688" s="151">
        <f>+IF(OR($Q688=Parametres!$G$2,$Q688=Parametres!$G$3),J688,D688)</f>
        <v>-4</v>
      </c>
      <c r="P688" s="151">
        <f>+IF(OR($Q688=Parametres!$G$2,$Q688=Parametres!$G$3),K688,E688)</f>
        <v>-54</v>
      </c>
      <c r="Q688" s="150" t="str">
        <f t="shared" si="52"/>
        <v>10-Compte compteur</v>
      </c>
      <c r="R688" s="149" t="str">
        <f t="shared" si="53"/>
        <v>430</v>
      </c>
      <c r="S688" s="150" t="str">
        <f t="shared" si="54"/>
        <v>_</v>
      </c>
      <c r="T688" s="152" t="str">
        <f>+VLOOKUP($L688,Data_Validation!$A:$D,1,0)</f>
        <v>430C@</v>
      </c>
      <c r="U688" s="152" t="str">
        <f>+VLOOKUP($L688,Data_Validation!$A:$D,3,0)</f>
        <v>Véhicules neufs</v>
      </c>
      <c r="V688" s="152" t="str">
        <f>+VLOOKUP($L688,Data_Validation!$A:$D,4,0)</f>
        <v>Rev. Autres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1512</v>
      </c>
      <c r="B689" s="662" t="s">
        <v>1513</v>
      </c>
      <c r="C689" s="663"/>
      <c r="D689" s="663"/>
      <c r="E689" s="663"/>
      <c r="F689" s="662" t="s">
        <v>4</v>
      </c>
      <c r="G689" s="662" t="s">
        <v>625</v>
      </c>
      <c r="H689" s="657" t="s">
        <v>2997</v>
      </c>
      <c r="I689" s="656">
        <v>-197</v>
      </c>
      <c r="J689" s="656">
        <v>-11</v>
      </c>
      <c r="K689" s="656">
        <v>-208</v>
      </c>
      <c r="L689" s="149" t="str">
        <f t="shared" si="50"/>
        <v>430E@</v>
      </c>
      <c r="M689" s="150" t="str">
        <f t="shared" si="51"/>
        <v># DE SLS - PROTEC ESTHETIQUE NEUF BMW AUTO</v>
      </c>
      <c r="N689" s="151">
        <f>+IF(OR($Q689=Parametres!$G$2,$Q689=Parametres!$G$3),I689,C689)</f>
        <v>-197</v>
      </c>
      <c r="O689" s="151">
        <f>+IF(OR($Q689=Parametres!$G$2,$Q689=Parametres!$G$3),J689,D689)</f>
        <v>-11</v>
      </c>
      <c r="P689" s="151">
        <f>+IF(OR($Q689=Parametres!$G$2,$Q689=Parametres!$G$3),K689,E689)</f>
        <v>-208</v>
      </c>
      <c r="Q689" s="150" t="str">
        <f t="shared" si="52"/>
        <v>10-Compte compteur</v>
      </c>
      <c r="R689" s="149" t="str">
        <f t="shared" si="53"/>
        <v>430</v>
      </c>
      <c r="S689" s="150" t="str">
        <f t="shared" si="54"/>
        <v>_</v>
      </c>
      <c r="T689" s="152" t="str">
        <f>+VLOOKUP($L689,Data_Validation!$A:$D,1,0)</f>
        <v>430E@</v>
      </c>
      <c r="U689" s="152" t="str">
        <f>+VLOOKUP($L689,Data_Validation!$A:$D,3,0)</f>
        <v>Véhicules neufs</v>
      </c>
      <c r="V689" s="152" t="str">
        <f>+VLOOKUP($L689,Data_Validation!$A:$D,4,0)</f>
        <v>Rev. Protections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1514</v>
      </c>
      <c r="B690" s="662" t="s">
        <v>1515</v>
      </c>
      <c r="C690" s="663"/>
      <c r="D690" s="663"/>
      <c r="E690" s="663"/>
      <c r="F690" s="662" t="s">
        <v>4</v>
      </c>
      <c r="G690" s="662" t="s">
        <v>625</v>
      </c>
      <c r="H690" s="657" t="s">
        <v>2997</v>
      </c>
      <c r="I690" s="656">
        <v>-2</v>
      </c>
      <c r="J690" s="656">
        <v>0</v>
      </c>
      <c r="K690" s="656">
        <v>-2</v>
      </c>
      <c r="L690" s="149" t="str">
        <f t="shared" si="50"/>
        <v>430F@</v>
      </c>
      <c r="M690" s="150" t="str">
        <f t="shared" si="51"/>
        <v># DE VTE - RIST FIN NEUF BMW AUTO</v>
      </c>
      <c r="N690" s="151">
        <f>+IF(OR($Q690=Parametres!$G$2,$Q690=Parametres!$G$3),I690,C690)</f>
        <v>-2</v>
      </c>
      <c r="O690" s="151">
        <f>+IF(OR($Q690=Parametres!$G$2,$Q690=Parametres!$G$3),J690,D690)</f>
        <v>0</v>
      </c>
      <c r="P690" s="151">
        <f>+IF(OR($Q690=Parametres!$G$2,$Q690=Parametres!$G$3),K690,E690)</f>
        <v>-2</v>
      </c>
      <c r="Q690" s="150" t="str">
        <f t="shared" si="52"/>
        <v>10-Compte compteur</v>
      </c>
      <c r="R690" s="149" t="str">
        <f t="shared" si="53"/>
        <v>430</v>
      </c>
      <c r="S690" s="150" t="str">
        <f t="shared" si="54"/>
        <v>_</v>
      </c>
      <c r="T690" s="152" t="str">
        <f>+VLOOKUP($L690,Data_Validation!$A:$D,1,0)</f>
        <v>430F@</v>
      </c>
      <c r="U690" s="152" t="str">
        <f>+VLOOKUP($L690,Data_Validation!$A:$D,3,0)</f>
        <v>Véhicules neufs</v>
      </c>
      <c r="V690" s="152" t="str">
        <f>+VLOOKUP($L690,Data_Validation!$A:$D,4,0)</f>
        <v>Rev. Finances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1516</v>
      </c>
      <c r="B691" s="662" t="s">
        <v>1043</v>
      </c>
      <c r="C691" s="663"/>
      <c r="D691" s="663"/>
      <c r="E691" s="663"/>
      <c r="F691" s="662" t="s">
        <v>4</v>
      </c>
      <c r="G691" s="662" t="s">
        <v>625</v>
      </c>
      <c r="H691" s="657" t="s">
        <v>2997</v>
      </c>
      <c r="I691" s="656">
        <v>-8</v>
      </c>
      <c r="J691" s="656">
        <v>0</v>
      </c>
      <c r="K691" s="656">
        <v>-8</v>
      </c>
      <c r="L691" s="149" t="str">
        <f t="shared" si="50"/>
        <v>430P@</v>
      </c>
      <c r="M691" s="150" t="str">
        <f t="shared" si="51"/>
        <v># DE VTE - PROTEC PNEUS/JANTES NEUF BMW AUTO</v>
      </c>
      <c r="N691" s="151">
        <f>+IF(OR($Q691=Parametres!$G$2,$Q691=Parametres!$G$3),I691,C691)</f>
        <v>-8</v>
      </c>
      <c r="O691" s="151">
        <f>+IF(OR($Q691=Parametres!$G$2,$Q691=Parametres!$G$3),J691,D691)</f>
        <v>0</v>
      </c>
      <c r="P691" s="151">
        <f>+IF(OR($Q691=Parametres!$G$2,$Q691=Parametres!$G$3),K691,E691)</f>
        <v>-8</v>
      </c>
      <c r="Q691" s="150" t="str">
        <f t="shared" si="52"/>
        <v>10-Compte compteur</v>
      </c>
      <c r="R691" s="149" t="str">
        <f t="shared" si="53"/>
        <v>430</v>
      </c>
      <c r="S691" s="150" t="str">
        <f t="shared" si="54"/>
        <v>_</v>
      </c>
      <c r="T691" s="152" t="str">
        <f>+VLOOKUP($L691,Data_Validation!$A:$D,1,0)</f>
        <v>430P@</v>
      </c>
      <c r="U691" s="152" t="str">
        <f>+VLOOKUP($L691,Data_Validation!$A:$D,3,0)</f>
        <v>Véhicules neufs</v>
      </c>
      <c r="V691" s="152" t="str">
        <f>+VLOOKUP($L691,Data_Validation!$A:$D,4,0)</f>
        <v>Rev. Protections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1949</v>
      </c>
      <c r="B692" s="662" t="s">
        <v>1950</v>
      </c>
      <c r="C692" s="663"/>
      <c r="D692" s="663"/>
      <c r="E692" s="663"/>
      <c r="F692" s="662" t="s">
        <v>4</v>
      </c>
      <c r="G692" s="662" t="s">
        <v>625</v>
      </c>
      <c r="H692" s="657" t="s">
        <v>2997</v>
      </c>
      <c r="I692" s="656">
        <v>-12</v>
      </c>
      <c r="J692" s="656">
        <v>0</v>
      </c>
      <c r="K692" s="656">
        <v>-12</v>
      </c>
      <c r="L692" s="149" t="str">
        <f t="shared" si="50"/>
        <v>430R@</v>
      </c>
      <c r="M692" s="150" t="str">
        <f t="shared" si="51"/>
        <v># DE VTE - ASS. REMP. NEUF BMW AUTO</v>
      </c>
      <c r="N692" s="151">
        <f>+IF(OR($Q692=Parametres!$G$2,$Q692=Parametres!$G$3),I692,C692)</f>
        <v>-12</v>
      </c>
      <c r="O692" s="151">
        <f>+IF(OR($Q692=Parametres!$G$2,$Q692=Parametres!$G$3),J692,D692)</f>
        <v>0</v>
      </c>
      <c r="P692" s="151">
        <f>+IF(OR($Q692=Parametres!$G$2,$Q692=Parametres!$G$3),K692,E692)</f>
        <v>-12</v>
      </c>
      <c r="Q692" s="150" t="str">
        <f t="shared" si="52"/>
        <v>10-Compte compteur</v>
      </c>
      <c r="R692" s="149" t="str">
        <f t="shared" si="53"/>
        <v>430</v>
      </c>
      <c r="S692" s="150" t="str">
        <f t="shared" si="54"/>
        <v>_</v>
      </c>
      <c r="T692" s="152" t="str">
        <f>+VLOOKUP($L692,Data_Validation!$A:$D,1,0)</f>
        <v>430R@</v>
      </c>
      <c r="U692" s="152" t="str">
        <f>+VLOOKUP($L692,Data_Validation!$A:$D,3,0)</f>
        <v>Véhicules neufs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1517</v>
      </c>
      <c r="B693" s="662" t="s">
        <v>1518</v>
      </c>
      <c r="C693" s="663"/>
      <c r="D693" s="663"/>
      <c r="E693" s="663"/>
      <c r="F693" s="662" t="s">
        <v>4</v>
      </c>
      <c r="G693" s="662" t="s">
        <v>625</v>
      </c>
      <c r="H693" s="657" t="s">
        <v>2997</v>
      </c>
      <c r="I693" s="656">
        <v>-43</v>
      </c>
      <c r="J693" s="656">
        <v>0</v>
      </c>
      <c r="K693" s="656">
        <v>-43</v>
      </c>
      <c r="L693" s="149" t="str">
        <f t="shared" si="50"/>
        <v>430T@</v>
      </c>
      <c r="M693" s="150" t="str">
        <f t="shared" si="51"/>
        <v># DE SLS - TRAITEMENT OTOPROTEC NEUF BMW AUTO</v>
      </c>
      <c r="N693" s="151">
        <f>+IF(OR($Q693=Parametres!$G$2,$Q693=Parametres!$G$3),I693,C693)</f>
        <v>-43</v>
      </c>
      <c r="O693" s="151">
        <f>+IF(OR($Q693=Parametres!$G$2,$Q693=Parametres!$G$3),J693,D693)</f>
        <v>0</v>
      </c>
      <c r="P693" s="151">
        <f>+IF(OR($Q693=Parametres!$G$2,$Q693=Parametres!$G$3),K693,E693)</f>
        <v>-43</v>
      </c>
      <c r="Q693" s="150" t="str">
        <f t="shared" si="52"/>
        <v>10-Compte compteur</v>
      </c>
      <c r="R693" s="149" t="str">
        <f t="shared" si="53"/>
        <v>430</v>
      </c>
      <c r="S693" s="150" t="str">
        <f t="shared" si="54"/>
        <v>_</v>
      </c>
      <c r="T693" s="152" t="str">
        <f>+VLOOKUP($L693,Data_Validation!$A:$D,1,0)</f>
        <v>430T@</v>
      </c>
      <c r="U693" s="152" t="str">
        <f>+VLOOKUP($L693,Data_Validation!$A:$D,3,0)</f>
        <v>Véhicules neufs</v>
      </c>
      <c r="V693" s="152" t="str">
        <f>+VLOOKUP($L693,Data_Validation!$A:$D,4,0)</f>
        <v>Rev. Autres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1519</v>
      </c>
      <c r="B694" s="662" t="s">
        <v>1520</v>
      </c>
      <c r="C694" s="663"/>
      <c r="D694" s="663"/>
      <c r="E694" s="663"/>
      <c r="F694" s="662" t="s">
        <v>4</v>
      </c>
      <c r="G694" s="662" t="s">
        <v>625</v>
      </c>
      <c r="H694" s="657" t="s">
        <v>2997</v>
      </c>
      <c r="I694" s="656">
        <v>-87</v>
      </c>
      <c r="J694" s="656">
        <v>-3</v>
      </c>
      <c r="K694" s="656">
        <v>-90</v>
      </c>
      <c r="L694" s="149" t="str">
        <f t="shared" si="50"/>
        <v>430U@</v>
      </c>
      <c r="M694" s="150" t="str">
        <f t="shared" si="51"/>
        <v># DE VTE - ASSIS USU NEUF BMW AUTO</v>
      </c>
      <c r="N694" s="151">
        <f>+IF(OR($Q694=Parametres!$G$2,$Q694=Parametres!$G$3),I694,C694)</f>
        <v>-87</v>
      </c>
      <c r="O694" s="151">
        <f>+IF(OR($Q694=Parametres!$G$2,$Q694=Parametres!$G$3),J694,D694)</f>
        <v>-3</v>
      </c>
      <c r="P694" s="151">
        <f>+IF(OR($Q694=Parametres!$G$2,$Q694=Parametres!$G$3),K694,E694)</f>
        <v>-90</v>
      </c>
      <c r="Q694" s="150" t="str">
        <f t="shared" si="52"/>
        <v>10-Compte compteur</v>
      </c>
      <c r="R694" s="149" t="str">
        <f t="shared" si="53"/>
        <v>430</v>
      </c>
      <c r="S694" s="150" t="str">
        <f t="shared" si="54"/>
        <v>_</v>
      </c>
      <c r="T694" s="152" t="str">
        <f>+VLOOKUP($L694,Data_Validation!$A:$D,1,0)</f>
        <v>430U@</v>
      </c>
      <c r="U694" s="152" t="str">
        <f>+VLOOKUP($L694,Data_Validation!$A:$D,3,0)</f>
        <v>Véhicules neufs</v>
      </c>
      <c r="V694" s="152" t="str">
        <f>+VLOOKUP($L694,Data_Validation!$A:$D,4,0)</f>
        <v>Rev. Protections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1521</v>
      </c>
      <c r="B695" s="662" t="s">
        <v>1522</v>
      </c>
      <c r="C695" s="663"/>
      <c r="D695" s="663"/>
      <c r="E695" s="663"/>
      <c r="F695" s="662" t="s">
        <v>4</v>
      </c>
      <c r="G695" s="662" t="s">
        <v>625</v>
      </c>
      <c r="H695" s="657" t="s">
        <v>2997</v>
      </c>
      <c r="I695" s="656">
        <v>-4</v>
      </c>
      <c r="J695" s="656">
        <v>0</v>
      </c>
      <c r="K695" s="656">
        <v>-4</v>
      </c>
      <c r="L695" s="149" t="str">
        <f t="shared" si="50"/>
        <v>430V@</v>
      </c>
      <c r="M695" s="150" t="str">
        <f t="shared" si="51"/>
        <v># DE VTE - ASS VIE/INV NEUF BMW AUTO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52"/>
        <v>10-Compte compteur</v>
      </c>
      <c r="R695" s="149" t="str">
        <f t="shared" si="53"/>
        <v>430</v>
      </c>
      <c r="S695" s="150" t="str">
        <f t="shared" si="54"/>
        <v>_</v>
      </c>
      <c r="T695" s="152" t="str">
        <f>+VLOOKUP($L695,Data_Validation!$A:$D,1,0)</f>
        <v>430V@</v>
      </c>
      <c r="U695" s="152" t="str">
        <f>+VLOOKUP($L695,Data_Validation!$A:$D,3,0)</f>
        <v>Véhicules neufs</v>
      </c>
      <c r="V695" s="152" t="str">
        <f>+VLOOKUP($L695,Data_Validation!$A:$D,4,0)</f>
        <v>Rev. Autres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2062</v>
      </c>
      <c r="B696" s="662" t="s">
        <v>2063</v>
      </c>
      <c r="C696" s="663"/>
      <c r="D696" s="663"/>
      <c r="E696" s="663"/>
      <c r="F696" s="662" t="s">
        <v>4</v>
      </c>
      <c r="G696" s="662" t="s">
        <v>2011</v>
      </c>
      <c r="H696" s="657" t="s">
        <v>2997</v>
      </c>
      <c r="I696" s="656">
        <v>-7</v>
      </c>
      <c r="J696" s="656">
        <v>0</v>
      </c>
      <c r="K696" s="656">
        <v>-7</v>
      </c>
      <c r="L696" s="149" t="str">
        <f t="shared" si="50"/>
        <v>432@</v>
      </c>
      <c r="M696" s="150" t="str">
        <f t="shared" si="51"/>
        <v># DE VTE - 530E XDRIVE</v>
      </c>
      <c r="N696" s="151">
        <f>+IF(OR($Q696=Parametres!$G$2,$Q696=Parametres!$G$3),I696,C696)</f>
        <v>-7</v>
      </c>
      <c r="O696" s="151">
        <f>+IF(OR($Q696=Parametres!$G$2,$Q696=Parametres!$G$3),J696,D696)</f>
        <v>0</v>
      </c>
      <c r="P696" s="151">
        <f>+IF(OR($Q696=Parametres!$G$2,$Q696=Parametres!$G$3),K696,E696)</f>
        <v>-7</v>
      </c>
      <c r="Q696" s="150" t="str">
        <f t="shared" si="52"/>
        <v>10-Compte compteur</v>
      </c>
      <c r="R696" s="149" t="str">
        <f t="shared" si="53"/>
        <v>432</v>
      </c>
      <c r="S696" s="150" t="str">
        <f t="shared" si="54"/>
        <v>_</v>
      </c>
      <c r="T696" s="152" t="str">
        <f>+VLOOKUP($L696,Data_Validation!$A:$D,1,0)</f>
        <v>432@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1524</v>
      </c>
      <c r="B697" s="662" t="s">
        <v>721</v>
      </c>
      <c r="C697" s="663"/>
      <c r="D697" s="663"/>
      <c r="E697" s="663"/>
      <c r="F697" s="662" t="s">
        <v>4</v>
      </c>
      <c r="G697" s="662" t="s">
        <v>2011</v>
      </c>
      <c r="H697" s="657" t="s">
        <v>2997</v>
      </c>
      <c r="I697" s="656">
        <v>-24</v>
      </c>
      <c r="J697" s="656">
        <v>0</v>
      </c>
      <c r="K697" s="656">
        <v>-24</v>
      </c>
      <c r="L697" s="149" t="str">
        <f t="shared" si="50"/>
        <v>432A@</v>
      </c>
      <c r="M697" s="150" t="str">
        <f t="shared" si="51"/>
        <v># DE VTE - GAR PROL NEUF BMW AUTO</v>
      </c>
      <c r="N697" s="151">
        <f>+IF(OR($Q697=Parametres!$G$2,$Q697=Parametres!$G$3),I697,C697)</f>
        <v>-24</v>
      </c>
      <c r="O697" s="151">
        <f>+IF(OR($Q697=Parametres!$G$2,$Q697=Parametres!$G$3),J697,D697)</f>
        <v>0</v>
      </c>
      <c r="P697" s="151">
        <f>+IF(OR($Q697=Parametres!$G$2,$Q697=Parametres!$G$3),K697,E697)</f>
        <v>-24</v>
      </c>
      <c r="Q697" s="150" t="str">
        <f t="shared" si="52"/>
        <v>10-Compte compteur</v>
      </c>
      <c r="R697" s="149" t="str">
        <f t="shared" si="53"/>
        <v>432</v>
      </c>
      <c r="S697" s="150" t="str">
        <f t="shared" si="54"/>
        <v>_</v>
      </c>
      <c r="T697" s="152" t="str">
        <f>+VLOOKUP($L697,Data_Validation!$A:$D,1,0)</f>
        <v>432A@</v>
      </c>
      <c r="U697" s="152" t="str">
        <f>+VLOOKUP($L697,Data_Validation!$A:$D,3,0)</f>
        <v>Véhicules neufs</v>
      </c>
      <c r="V697" s="152" t="str">
        <f>+VLOOKUP($L697,Data_Validation!$A:$D,4,0)</f>
        <v>Rev. Protections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2108</v>
      </c>
      <c r="B698" s="662" t="s">
        <v>2107</v>
      </c>
      <c r="C698" s="663"/>
      <c r="D698" s="663"/>
      <c r="E698" s="663"/>
      <c r="F698" s="662" t="s">
        <v>4</v>
      </c>
      <c r="G698" s="662" t="s">
        <v>2359</v>
      </c>
      <c r="H698" s="657" t="s">
        <v>2997</v>
      </c>
      <c r="I698" s="656">
        <v>-97</v>
      </c>
      <c r="J698" s="656">
        <v>-7</v>
      </c>
      <c r="K698" s="656">
        <v>-104</v>
      </c>
      <c r="L698" s="149" t="str">
        <f t="shared" si="50"/>
        <v>434A@</v>
      </c>
      <c r="M698" s="150" t="str">
        <f t="shared" si="51"/>
        <v># DE VTE - CONT ENTR NEUF BMW AUTO</v>
      </c>
      <c r="N698" s="151">
        <f>+IF(OR($Q698=Parametres!$G$2,$Q698=Parametres!$G$3),I698,C698)</f>
        <v>-97</v>
      </c>
      <c r="O698" s="151">
        <f>+IF(OR($Q698=Parametres!$G$2,$Q698=Parametres!$G$3),J698,D698)</f>
        <v>-7</v>
      </c>
      <c r="P698" s="151">
        <f>+IF(OR($Q698=Parametres!$G$2,$Q698=Parametres!$G$3),K698,E698)</f>
        <v>-104</v>
      </c>
      <c r="Q698" s="150" t="str">
        <f t="shared" si="52"/>
        <v>10-Compte compteur</v>
      </c>
      <c r="R698" s="149" t="str">
        <f t="shared" si="53"/>
        <v>434</v>
      </c>
      <c r="S698" s="150" t="str">
        <f t="shared" si="54"/>
        <v>_</v>
      </c>
      <c r="T698" s="152" t="str">
        <f>+VLOOKUP($L698,Data_Validation!$A:$D,1,0)</f>
        <v>434A@</v>
      </c>
      <c r="U698" s="152" t="str">
        <f>+VLOOKUP($L698,Data_Validation!$A:$D,3,0)</f>
        <v>Véhicules neufs</v>
      </c>
      <c r="V698" s="152" t="str">
        <f>+VLOOKUP($L698,Data_Validation!$A:$D,4,0)</f>
        <v>Rev. Protections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1525</v>
      </c>
      <c r="B699" s="662" t="s">
        <v>722</v>
      </c>
      <c r="C699" s="663"/>
      <c r="D699" s="663"/>
      <c r="E699" s="663"/>
      <c r="F699" s="662" t="s">
        <v>4</v>
      </c>
      <c r="G699" s="662" t="s">
        <v>420</v>
      </c>
      <c r="H699" s="657" t="s">
        <v>2997</v>
      </c>
      <c r="I699" s="656">
        <v>-22</v>
      </c>
      <c r="J699" s="656">
        <v>-1</v>
      </c>
      <c r="K699" s="656">
        <v>-23</v>
      </c>
      <c r="L699" s="149" t="str">
        <f t="shared" si="50"/>
        <v>440A@</v>
      </c>
      <c r="M699" s="150" t="str">
        <f t="shared" si="51"/>
        <v># DE VTE - USAGE BMW AUTO CERT</v>
      </c>
      <c r="N699" s="151">
        <f>+IF(OR($Q699=Parametres!$G$2,$Q699=Parametres!$G$3),I699,C699)</f>
        <v>-22</v>
      </c>
      <c r="O699" s="151">
        <f>+IF(OR($Q699=Parametres!$G$2,$Q699=Parametres!$G$3),J699,D699)</f>
        <v>-1</v>
      </c>
      <c r="P699" s="151">
        <f>+IF(OR($Q699=Parametres!$G$2,$Q699=Parametres!$G$3),K699,E699)</f>
        <v>-23</v>
      </c>
      <c r="Q699" s="150" t="str">
        <f t="shared" si="52"/>
        <v>10-Compte compteur</v>
      </c>
      <c r="R699" s="149" t="str">
        <f t="shared" si="53"/>
        <v>440A</v>
      </c>
      <c r="S699" s="150" t="str">
        <f t="shared" si="54"/>
        <v>_</v>
      </c>
      <c r="T699" s="152" t="str">
        <f>+VLOOKUP($L699,Data_Validation!$A:$D,1,0)</f>
        <v>440A@</v>
      </c>
      <c r="U699" s="152" t="str">
        <f>+VLOOKUP($L699,Data_Validation!$A:$D,3,0)</f>
        <v>Véhicules usagés</v>
      </c>
      <c r="V699" s="152" t="str">
        <f>+VLOOKUP($L699,Data_Validation!$A:$D,4,0)</f>
        <v>Certifié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1526</v>
      </c>
      <c r="B700" s="662" t="s">
        <v>723</v>
      </c>
      <c r="C700" s="663"/>
      <c r="D700" s="663"/>
      <c r="E700" s="663"/>
      <c r="F700" s="662" t="s">
        <v>4</v>
      </c>
      <c r="G700" s="662" t="s">
        <v>416</v>
      </c>
      <c r="H700" s="657" t="s">
        <v>2997</v>
      </c>
      <c r="I700" s="656">
        <v>-27</v>
      </c>
      <c r="J700" s="656">
        <v>-2</v>
      </c>
      <c r="K700" s="656">
        <v>-29</v>
      </c>
      <c r="L700" s="149" t="str">
        <f t="shared" si="50"/>
        <v>440B@</v>
      </c>
      <c r="M700" s="150" t="str">
        <f t="shared" si="51"/>
        <v># DE VTE - USAGE BMW AUTO NON-CERT</v>
      </c>
      <c r="N700" s="151">
        <f>+IF(OR($Q700=Parametres!$G$2,$Q700=Parametres!$G$3),I700,C700)</f>
        <v>-27</v>
      </c>
      <c r="O700" s="151">
        <f>+IF(OR($Q700=Parametres!$G$2,$Q700=Parametres!$G$3),J700,D700)</f>
        <v>-2</v>
      </c>
      <c r="P700" s="151">
        <f>+IF(OR($Q700=Parametres!$G$2,$Q700=Parametres!$G$3),K700,E700)</f>
        <v>-29</v>
      </c>
      <c r="Q700" s="150" t="str">
        <f t="shared" si="52"/>
        <v>10-Compte compteur</v>
      </c>
      <c r="R700" s="149" t="str">
        <f t="shared" si="53"/>
        <v>440B</v>
      </c>
      <c r="S700" s="150" t="str">
        <f t="shared" si="54"/>
        <v>_</v>
      </c>
      <c r="T700" s="152" t="str">
        <f>+VLOOKUP($L700,Data_Validation!$A:$D,1,0)</f>
        <v>440B@</v>
      </c>
      <c r="U700" s="152" t="str">
        <f>+VLOOKUP($L700,Data_Validation!$A:$D,3,0)</f>
        <v>Véhicules usagés</v>
      </c>
      <c r="V700" s="152" t="str">
        <f>+VLOOKUP($L700,Data_Validation!$A:$D,4,0)</f>
        <v>Non Certifié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1527</v>
      </c>
      <c r="B701" s="662" t="s">
        <v>724</v>
      </c>
      <c r="C701" s="663"/>
      <c r="D701" s="663"/>
      <c r="E701" s="663"/>
      <c r="F701" s="662" t="s">
        <v>4</v>
      </c>
      <c r="G701" s="662" t="s">
        <v>384</v>
      </c>
      <c r="H701" s="657" t="s">
        <v>2997</v>
      </c>
      <c r="I701" s="656">
        <v>-57</v>
      </c>
      <c r="J701" s="656">
        <v>-4</v>
      </c>
      <c r="K701" s="656">
        <v>-61</v>
      </c>
      <c r="L701" s="149" t="str">
        <f t="shared" si="50"/>
        <v>442@</v>
      </c>
      <c r="M701" s="150" t="str">
        <f t="shared" si="51"/>
        <v># DE VTE - USAGE AUTRES</v>
      </c>
      <c r="N701" s="151">
        <f>+IF(OR($Q701=Parametres!$G$2,$Q701=Parametres!$G$3),I701,C701)</f>
        <v>-57</v>
      </c>
      <c r="O701" s="151">
        <f>+IF(OR($Q701=Parametres!$G$2,$Q701=Parametres!$G$3),J701,D701)</f>
        <v>-4</v>
      </c>
      <c r="P701" s="151">
        <f>+IF(OR($Q701=Parametres!$G$2,$Q701=Parametres!$G$3),K701,E701)</f>
        <v>-61</v>
      </c>
      <c r="Q701" s="150" t="str">
        <f t="shared" si="52"/>
        <v>10-Compte compteur</v>
      </c>
      <c r="R701" s="149" t="str">
        <f t="shared" si="53"/>
        <v>442</v>
      </c>
      <c r="S701" s="150" t="str">
        <f t="shared" si="54"/>
        <v>_</v>
      </c>
      <c r="T701" s="152" t="str">
        <f>+VLOOKUP($L701,Data_Validation!$A:$D,1,0)</f>
        <v>442@</v>
      </c>
      <c r="U701" s="152" t="str">
        <f>+VLOOKUP($L701,Data_Validation!$A:$D,3,0)</f>
        <v>Véhicules usagés</v>
      </c>
      <c r="V701" s="152" t="str">
        <f>+VLOOKUP($L701,Data_Validation!$A:$D,4,0)</f>
        <v>Autres marques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1528</v>
      </c>
      <c r="B702" s="662" t="s">
        <v>1529</v>
      </c>
      <c r="C702" s="663"/>
      <c r="D702" s="663"/>
      <c r="E702" s="663"/>
      <c r="F702" s="662" t="s">
        <v>4</v>
      </c>
      <c r="G702" s="662" t="s">
        <v>1072</v>
      </c>
      <c r="H702" s="657" t="s">
        <v>2997</v>
      </c>
      <c r="I702" s="656">
        <v>-27</v>
      </c>
      <c r="J702" s="656">
        <v>-5</v>
      </c>
      <c r="K702" s="656">
        <v>-32</v>
      </c>
      <c r="L702" s="149" t="str">
        <f t="shared" si="50"/>
        <v>444A@</v>
      </c>
      <c r="M702" s="150" t="str">
        <f t="shared" si="51"/>
        <v># DE VTE - GROS BMW AUTO</v>
      </c>
      <c r="N702" s="151">
        <f>+IF(OR($Q702=Parametres!$G$2,$Q702=Parametres!$G$3),I702,C702)</f>
        <v>-27</v>
      </c>
      <c r="O702" s="151">
        <f>+IF(OR($Q702=Parametres!$G$2,$Q702=Parametres!$G$3),J702,D702)</f>
        <v>-5</v>
      </c>
      <c r="P702" s="151">
        <f>+IF(OR($Q702=Parametres!$G$2,$Q702=Parametres!$G$3),K702,E702)</f>
        <v>-32</v>
      </c>
      <c r="Q702" s="150" t="str">
        <f t="shared" si="52"/>
        <v>10-Compte compteur</v>
      </c>
      <c r="R702" s="149" t="str">
        <f t="shared" si="53"/>
        <v>444A</v>
      </c>
      <c r="S702" s="150" t="str">
        <f t="shared" si="54"/>
        <v>_</v>
      </c>
      <c r="T702" s="152" t="str">
        <f>+VLOOKUP($L702,Data_Validation!$A:$D,1,0)</f>
        <v>444A@</v>
      </c>
      <c r="U702" s="152" t="str">
        <f>+VLOOKUP($L702,Data_Validation!$A:$D,3,0)</f>
        <v>Véhicules usagés</v>
      </c>
      <c r="V702" s="152" t="str">
        <f>+VLOOKUP($L702,Data_Validation!$A:$D,4,0)</f>
        <v>Ventes au Gros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1530</v>
      </c>
      <c r="B703" s="662" t="s">
        <v>725</v>
      </c>
      <c r="C703" s="663"/>
      <c r="D703" s="663"/>
      <c r="E703" s="663"/>
      <c r="F703" s="662" t="s">
        <v>4</v>
      </c>
      <c r="G703" s="662" t="s">
        <v>398</v>
      </c>
      <c r="H703" s="657" t="s">
        <v>2997</v>
      </c>
      <c r="I703" s="656">
        <v>-26</v>
      </c>
      <c r="J703" s="656">
        <v>-10</v>
      </c>
      <c r="K703" s="656">
        <v>-36</v>
      </c>
      <c r="L703" s="149" t="str">
        <f t="shared" si="50"/>
        <v>444B@</v>
      </c>
      <c r="M703" s="150" t="str">
        <f t="shared" si="51"/>
        <v># DE VTE - GROS BMW CAMION</v>
      </c>
      <c r="N703" s="151">
        <f>+IF(OR($Q703=Parametres!$G$2,$Q703=Parametres!$G$3),I703,C703)</f>
        <v>-26</v>
      </c>
      <c r="O703" s="151">
        <f>+IF(OR($Q703=Parametres!$G$2,$Q703=Parametres!$G$3),J703,D703)</f>
        <v>-10</v>
      </c>
      <c r="P703" s="151">
        <f>+IF(OR($Q703=Parametres!$G$2,$Q703=Parametres!$G$3),K703,E703)</f>
        <v>-36</v>
      </c>
      <c r="Q703" s="150" t="str">
        <f t="shared" si="52"/>
        <v>10-Compte compteur</v>
      </c>
      <c r="R703" s="149" t="str">
        <f t="shared" si="53"/>
        <v>444B</v>
      </c>
      <c r="S703" s="150" t="str">
        <f t="shared" si="54"/>
        <v>_</v>
      </c>
      <c r="T703" s="152" t="str">
        <f>+VLOOKUP($L703,Data_Validation!$A:$D,1,0)</f>
        <v>444B@</v>
      </c>
      <c r="U703" s="152" t="str">
        <f>+VLOOKUP($L703,Data_Validation!$A:$D,3,0)</f>
        <v>Véhicules usagés</v>
      </c>
      <c r="V703" s="152" t="str">
        <f>+VLOOKUP($L703,Data_Validation!$A:$D,4,0)</f>
        <v>Ventes au Gros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1531</v>
      </c>
      <c r="B704" s="662" t="s">
        <v>726</v>
      </c>
      <c r="C704" s="663"/>
      <c r="D704" s="663"/>
      <c r="E704" s="663"/>
      <c r="F704" s="662" t="s">
        <v>4</v>
      </c>
      <c r="G704" s="662" t="s">
        <v>401</v>
      </c>
      <c r="H704" s="657" t="s">
        <v>2997</v>
      </c>
      <c r="I704" s="656">
        <v>-115</v>
      </c>
      <c r="J704" s="656">
        <v>-15</v>
      </c>
      <c r="K704" s="656">
        <v>-130</v>
      </c>
      <c r="L704" s="149" t="str">
        <f t="shared" si="50"/>
        <v>444C@</v>
      </c>
      <c r="M704" s="150" t="str">
        <f t="shared" si="51"/>
        <v># DE VTE - GROS AUTRE</v>
      </c>
      <c r="N704" s="151">
        <f>+IF(OR($Q704=Parametres!$G$2,$Q704=Parametres!$G$3),I704,C704)</f>
        <v>-115</v>
      </c>
      <c r="O704" s="151">
        <f>+IF(OR($Q704=Parametres!$G$2,$Q704=Parametres!$G$3),J704,D704)</f>
        <v>-15</v>
      </c>
      <c r="P704" s="151">
        <f>+IF(OR($Q704=Parametres!$G$2,$Q704=Parametres!$G$3),K704,E704)</f>
        <v>-130</v>
      </c>
      <c r="Q704" s="150" t="str">
        <f t="shared" si="52"/>
        <v>10-Compte compteur</v>
      </c>
      <c r="R704" s="149" t="str">
        <f t="shared" si="53"/>
        <v>444C</v>
      </c>
      <c r="S704" s="150" t="str">
        <f t="shared" si="54"/>
        <v>_</v>
      </c>
      <c r="T704" s="152" t="str">
        <f>+VLOOKUP($L704,Data_Validation!$A:$D,1,0)</f>
        <v>444C@</v>
      </c>
      <c r="U704" s="152" t="str">
        <f>+VLOOKUP($L704,Data_Validation!$A:$D,3,0)</f>
        <v>Véhicules usagés</v>
      </c>
      <c r="V704" s="152" t="str">
        <f>+VLOOKUP($L704,Data_Validation!$A:$D,4,0)</f>
        <v>Ventes au Gros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1532</v>
      </c>
      <c r="B705" s="662" t="s">
        <v>727</v>
      </c>
      <c r="C705" s="663"/>
      <c r="D705" s="663"/>
      <c r="E705" s="663"/>
      <c r="F705" s="662" t="s">
        <v>4</v>
      </c>
      <c r="G705" s="662" t="s">
        <v>418</v>
      </c>
      <c r="H705" s="657" t="s">
        <v>2997</v>
      </c>
      <c r="I705" s="656">
        <v>-25</v>
      </c>
      <c r="J705" s="656">
        <v>-3</v>
      </c>
      <c r="K705" s="656">
        <v>-28</v>
      </c>
      <c r="L705" s="149" t="str">
        <f t="shared" si="50"/>
        <v>446A@</v>
      </c>
      <c r="M705" s="150" t="str">
        <f t="shared" si="51"/>
        <v># DE VTE - USAGE BMW CAMION CERT</v>
      </c>
      <c r="N705" s="151">
        <f>+IF(OR($Q705=Parametres!$G$2,$Q705=Parametres!$G$3),I705,C705)</f>
        <v>-25</v>
      </c>
      <c r="O705" s="151">
        <f>+IF(OR($Q705=Parametres!$G$2,$Q705=Parametres!$G$3),J705,D705)</f>
        <v>-3</v>
      </c>
      <c r="P705" s="151">
        <f>+IF(OR($Q705=Parametres!$G$2,$Q705=Parametres!$G$3),K705,E705)</f>
        <v>-28</v>
      </c>
      <c r="Q705" s="150" t="str">
        <f t="shared" si="52"/>
        <v>10-Compte compteur</v>
      </c>
      <c r="R705" s="149" t="str">
        <f t="shared" si="53"/>
        <v>446A</v>
      </c>
      <c r="S705" s="150" t="str">
        <f t="shared" si="54"/>
        <v>_</v>
      </c>
      <c r="T705" s="152" t="str">
        <f>+VLOOKUP($L705,Data_Validation!$A:$D,1,0)</f>
        <v>446A@</v>
      </c>
      <c r="U705" s="152" t="str">
        <f>+VLOOKUP($L705,Data_Validation!$A:$D,3,0)</f>
        <v>Véhicules usagés</v>
      </c>
      <c r="V705" s="152" t="str">
        <f>+VLOOKUP($L705,Data_Validation!$A:$D,4,0)</f>
        <v>Certifié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1533</v>
      </c>
      <c r="B706" s="662" t="s">
        <v>728</v>
      </c>
      <c r="C706" s="663"/>
      <c r="D706" s="663"/>
      <c r="E706" s="663"/>
      <c r="F706" s="662" t="s">
        <v>4</v>
      </c>
      <c r="G706" s="662" t="s">
        <v>404</v>
      </c>
      <c r="H706" s="657" t="s">
        <v>2997</v>
      </c>
      <c r="I706" s="656">
        <v>-33</v>
      </c>
      <c r="J706" s="656">
        <v>-8</v>
      </c>
      <c r="K706" s="656">
        <v>-41</v>
      </c>
      <c r="L706" s="149" t="str">
        <f t="shared" ref="L706:L769" si="55">+B706</f>
        <v>446B@</v>
      </c>
      <c r="M706" s="150" t="str">
        <f t="shared" ref="M706:M769" si="56">+A706</f>
        <v># DE VTE - USAGE BMW CAMION NON-CERT</v>
      </c>
      <c r="N706" s="151">
        <f>+IF(OR($Q706=Parametres!$G$2,$Q706=Parametres!$G$3),I706,C706)</f>
        <v>-33</v>
      </c>
      <c r="O706" s="151">
        <f>+IF(OR($Q706=Parametres!$G$2,$Q706=Parametres!$G$3),J706,D706)</f>
        <v>-8</v>
      </c>
      <c r="P706" s="151">
        <f>+IF(OR($Q706=Parametres!$G$2,$Q706=Parametres!$G$3),K706,E706)</f>
        <v>-41</v>
      </c>
      <c r="Q706" s="150" t="str">
        <f t="shared" ref="Q706:Q769" si="57">+F706</f>
        <v>10-Compte compteur</v>
      </c>
      <c r="R706" s="149" t="str">
        <f t="shared" ref="R706:R769" si="58">+G706</f>
        <v>446B</v>
      </c>
      <c r="S706" s="150" t="str">
        <f t="shared" ref="S706:S769" si="59">+H706</f>
        <v>_</v>
      </c>
      <c r="T706" s="152" t="str">
        <f>+VLOOKUP($L706,Data_Validation!$A:$D,1,0)</f>
        <v>446B@</v>
      </c>
      <c r="U706" s="152" t="str">
        <f>+VLOOKUP($L706,Data_Validation!$A:$D,3,0)</f>
        <v>Véhicules usagés</v>
      </c>
      <c r="V706" s="152" t="str">
        <f>+VLOOKUP($L706,Data_Validation!$A:$D,4,0)</f>
        <v>Non Certifié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1534</v>
      </c>
      <c r="B707" s="662" t="s">
        <v>729</v>
      </c>
      <c r="C707" s="663"/>
      <c r="D707" s="663"/>
      <c r="E707" s="663"/>
      <c r="F707" s="662" t="s">
        <v>4</v>
      </c>
      <c r="G707" s="662" t="s">
        <v>629</v>
      </c>
      <c r="H707" s="657" t="s">
        <v>2997</v>
      </c>
      <c r="I707" s="656">
        <v>-2</v>
      </c>
      <c r="J707" s="656">
        <v>0</v>
      </c>
      <c r="K707" s="656">
        <v>-2</v>
      </c>
      <c r="L707" s="149" t="str">
        <f t="shared" si="55"/>
        <v>447@</v>
      </c>
      <c r="M707" s="150" t="str">
        <f t="shared" si="56"/>
        <v># DE VTE - X5 M</v>
      </c>
      <c r="N707" s="151">
        <f>+IF(OR($Q707=Parametres!$G$2,$Q707=Parametres!$G$3),I707,C707)</f>
        <v>-2</v>
      </c>
      <c r="O707" s="151">
        <f>+IF(OR($Q707=Parametres!$G$2,$Q707=Parametres!$G$3),J707,D707)</f>
        <v>0</v>
      </c>
      <c r="P707" s="151">
        <f>+IF(OR($Q707=Parametres!$G$2,$Q707=Parametres!$G$3),K707,E707)</f>
        <v>-2</v>
      </c>
      <c r="Q707" s="150" t="str">
        <f t="shared" si="57"/>
        <v>10-Compte compteur</v>
      </c>
      <c r="R707" s="149" t="str">
        <f t="shared" si="58"/>
        <v>447</v>
      </c>
      <c r="S707" s="150" t="str">
        <f t="shared" si="59"/>
        <v>_</v>
      </c>
      <c r="T707" s="152" t="str">
        <f>+VLOOKUP($L707,Data_Validation!$A:$D,1,0)</f>
        <v>447@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1535</v>
      </c>
      <c r="B708" s="662" t="s">
        <v>730</v>
      </c>
      <c r="C708" s="663"/>
      <c r="D708" s="663"/>
      <c r="E708" s="663"/>
      <c r="F708" s="662" t="s">
        <v>4</v>
      </c>
      <c r="G708" s="662" t="s">
        <v>400</v>
      </c>
      <c r="H708" s="657" t="s">
        <v>2997</v>
      </c>
      <c r="I708" s="656">
        <v>-25</v>
      </c>
      <c r="J708" s="656">
        <v>-2</v>
      </c>
      <c r="K708" s="656">
        <v>-27</v>
      </c>
      <c r="L708" s="149" t="str">
        <f t="shared" si="55"/>
        <v>448@</v>
      </c>
      <c r="M708" s="150" t="str">
        <f t="shared" si="56"/>
        <v># DE VTE - RACHAT LOCATION BMW</v>
      </c>
      <c r="N708" s="151">
        <f>+IF(OR($Q708=Parametres!$G$2,$Q708=Parametres!$G$3),I708,C708)</f>
        <v>-25</v>
      </c>
      <c r="O708" s="151">
        <f>+IF(OR($Q708=Parametres!$G$2,$Q708=Parametres!$G$3),J708,D708)</f>
        <v>-2</v>
      </c>
      <c r="P708" s="151">
        <f>+IF(OR($Q708=Parametres!$G$2,$Q708=Parametres!$G$3),K708,E708)</f>
        <v>-27</v>
      </c>
      <c r="Q708" s="150" t="str">
        <f t="shared" si="57"/>
        <v>10-Compte compteur</v>
      </c>
      <c r="R708" s="149" t="str">
        <f t="shared" si="58"/>
        <v>448</v>
      </c>
      <c r="S708" s="150" t="str">
        <f t="shared" si="59"/>
        <v>_</v>
      </c>
      <c r="T708" s="152" t="str">
        <f>+VLOOKUP($L708,Data_Validation!$A:$D,1,0)</f>
        <v>448@</v>
      </c>
      <c r="U708" s="152" t="str">
        <f>+VLOOKUP($L708,Data_Validation!$A:$D,3,0)</f>
        <v>Véhicules neufs</v>
      </c>
      <c r="V708" s="152" t="str">
        <f>+VLOOKUP($L708,Data_Validation!$A:$D,4,0)</f>
        <v>Rachat bail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1536</v>
      </c>
      <c r="B709" s="662" t="s">
        <v>1044</v>
      </c>
      <c r="C709" s="663"/>
      <c r="D709" s="663"/>
      <c r="E709" s="663"/>
      <c r="F709" s="662" t="s">
        <v>4</v>
      </c>
      <c r="G709" s="662" t="s">
        <v>1012</v>
      </c>
      <c r="H709" s="657" t="s">
        <v>2997</v>
      </c>
      <c r="I709" s="656">
        <v>-45</v>
      </c>
      <c r="J709" s="656">
        <v>-3</v>
      </c>
      <c r="K709" s="656">
        <v>-48</v>
      </c>
      <c r="L709" s="149" t="str">
        <f t="shared" si="55"/>
        <v>450@</v>
      </c>
      <c r="M709" s="150" t="str">
        <f t="shared" si="56"/>
        <v># DE VTE - MARQUAGE OTOPROTEC USAGE BMW AUTO</v>
      </c>
      <c r="N709" s="151">
        <f>+IF(OR($Q709=Parametres!$G$2,$Q709=Parametres!$G$3),I709,C709)</f>
        <v>-45</v>
      </c>
      <c r="O709" s="151">
        <f>+IF(OR($Q709=Parametres!$G$2,$Q709=Parametres!$G$3),J709,D709)</f>
        <v>-3</v>
      </c>
      <c r="P709" s="151">
        <f>+IF(OR($Q709=Parametres!$G$2,$Q709=Parametres!$G$3),K709,E709)</f>
        <v>-48</v>
      </c>
      <c r="Q709" s="150" t="str">
        <f t="shared" si="57"/>
        <v>10-Compte compteur</v>
      </c>
      <c r="R709" s="149" t="str">
        <f t="shared" si="58"/>
        <v>450</v>
      </c>
      <c r="S709" s="150" t="str">
        <f t="shared" si="59"/>
        <v>_</v>
      </c>
      <c r="T709" s="152" t="str">
        <f>+VLOOKUP($L709,Data_Validation!$A:$D,1,0)</f>
        <v>450@</v>
      </c>
      <c r="U709" s="152" t="str">
        <f>+VLOOKUP($L709,Data_Validation!$A:$D,3,0)</f>
        <v>Véhicules usagés</v>
      </c>
      <c r="V709" s="152" t="str">
        <f>+VLOOKUP($L709,Data_Validation!$A:$D,4,0)</f>
        <v>Rev. Autres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1537</v>
      </c>
      <c r="B710" s="662" t="s">
        <v>731</v>
      </c>
      <c r="C710" s="663"/>
      <c r="D710" s="663"/>
      <c r="E710" s="663"/>
      <c r="F710" s="662" t="s">
        <v>4</v>
      </c>
      <c r="G710" s="662" t="s">
        <v>411</v>
      </c>
      <c r="H710" s="657" t="s">
        <v>2997</v>
      </c>
      <c r="I710" s="656">
        <v>-1</v>
      </c>
      <c r="J710" s="656">
        <v>0</v>
      </c>
      <c r="K710" s="656">
        <v>-1</v>
      </c>
      <c r="L710" s="149" t="str">
        <f t="shared" si="55"/>
        <v>450B@</v>
      </c>
      <c r="M710" s="150" t="str">
        <f t="shared" si="56"/>
        <v># OF VTES -VTES - M850I XDR CAB</v>
      </c>
      <c r="N710" s="151">
        <f>+IF(OR($Q710=Parametres!$G$2,$Q710=Parametres!$G$3),I710,C710)</f>
        <v>-1</v>
      </c>
      <c r="O710" s="151">
        <f>+IF(OR($Q710=Parametres!$G$2,$Q710=Parametres!$G$3),J710,D710)</f>
        <v>0</v>
      </c>
      <c r="P710" s="151">
        <f>+IF(OR($Q710=Parametres!$G$2,$Q710=Parametres!$G$3),K710,E710)</f>
        <v>-1</v>
      </c>
      <c r="Q710" s="150" t="str">
        <f t="shared" si="57"/>
        <v>10-Compte compteur</v>
      </c>
      <c r="R710" s="149" t="str">
        <f t="shared" si="58"/>
        <v>450B</v>
      </c>
      <c r="S710" s="150" t="str">
        <f t="shared" si="59"/>
        <v>_</v>
      </c>
      <c r="T710" s="152" t="str">
        <f>+VLOOKUP($L710,Data_Validation!$A:$D,1,0)</f>
        <v>450B@</v>
      </c>
      <c r="U710" s="152" t="str">
        <f>+VLOOKUP($L710,Data_Validation!$A:$D,3,0)</f>
        <v>Véhicules neufs</v>
      </c>
      <c r="V710" s="152" t="str">
        <f>+VLOOKUP($L710,Data_Validation!$A:$D,4,0)</f>
        <v>Autos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1538</v>
      </c>
      <c r="B711" s="662" t="s">
        <v>732</v>
      </c>
      <c r="C711" s="663"/>
      <c r="D711" s="663"/>
      <c r="E711" s="663"/>
      <c r="F711" s="662" t="s">
        <v>4</v>
      </c>
      <c r="G711" s="662" t="s">
        <v>1012</v>
      </c>
      <c r="H711" s="657" t="s">
        <v>2997</v>
      </c>
      <c r="I711" s="656">
        <v>-1</v>
      </c>
      <c r="J711" s="656">
        <v>0</v>
      </c>
      <c r="K711" s="656">
        <v>-1</v>
      </c>
      <c r="L711" s="149" t="str">
        <f t="shared" si="55"/>
        <v>450C@</v>
      </c>
      <c r="M711" s="150" t="str">
        <f t="shared" si="56"/>
        <v># DE VTE - ACCESSOIRES USAGE BMW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450</v>
      </c>
      <c r="S711" s="150" t="str">
        <f t="shared" si="59"/>
        <v>_</v>
      </c>
      <c r="T711" s="152" t="str">
        <f>+VLOOKUP($L711,Data_Validation!$A:$D,1,0)</f>
        <v>450C@</v>
      </c>
      <c r="U711" s="152" t="str">
        <f>+VLOOKUP($L711,Data_Validation!$A:$D,3,0)</f>
        <v>Véhicules usagés</v>
      </c>
      <c r="V711" s="152" t="str">
        <f>+VLOOKUP($L711,Data_Validation!$A:$D,4,0)</f>
        <v>Rev. Autres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1539</v>
      </c>
      <c r="B712" s="662" t="s">
        <v>1540</v>
      </c>
      <c r="C712" s="663"/>
      <c r="D712" s="663"/>
      <c r="E712" s="663"/>
      <c r="F712" s="662" t="s">
        <v>4</v>
      </c>
      <c r="G712" s="662" t="s">
        <v>1012</v>
      </c>
      <c r="H712" s="657" t="s">
        <v>2997</v>
      </c>
      <c r="I712" s="656">
        <v>-4</v>
      </c>
      <c r="J712" s="656">
        <v>0</v>
      </c>
      <c r="K712" s="656">
        <v>-4</v>
      </c>
      <c r="L712" s="149" t="str">
        <f t="shared" si="55"/>
        <v>450E@</v>
      </c>
      <c r="M712" s="150" t="str">
        <f t="shared" si="56"/>
        <v># DE SLS - PROTEC ESTHETIQUE USAGE BMW AUTO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7"/>
        <v>10-Compte compteur</v>
      </c>
      <c r="R712" s="149" t="str">
        <f t="shared" si="58"/>
        <v>450</v>
      </c>
      <c r="S712" s="150" t="str">
        <f t="shared" si="59"/>
        <v>_</v>
      </c>
      <c r="T712" s="152" t="str">
        <f>+VLOOKUP($L712,Data_Validation!$A:$D,1,0)</f>
        <v>450E@</v>
      </c>
      <c r="U712" s="152" t="str">
        <f>+VLOOKUP($L712,Data_Validation!$A:$D,3,0)</f>
        <v>Véhicules usagés</v>
      </c>
      <c r="V712" s="152" t="str">
        <f>+VLOOKUP($L712,Data_Validation!$A:$D,4,0)</f>
        <v>Rev. Protections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1541</v>
      </c>
      <c r="B713" s="662" t="s">
        <v>733</v>
      </c>
      <c r="C713" s="663"/>
      <c r="D713" s="663"/>
      <c r="E713" s="663"/>
      <c r="F713" s="662" t="s">
        <v>4</v>
      </c>
      <c r="G713" s="662" t="s">
        <v>1012</v>
      </c>
      <c r="H713" s="657" t="s">
        <v>2997</v>
      </c>
      <c r="I713" s="656">
        <v>-18</v>
      </c>
      <c r="J713" s="656">
        <v>0</v>
      </c>
      <c r="K713" s="656">
        <v>-18</v>
      </c>
      <c r="L713" s="149" t="str">
        <f t="shared" si="55"/>
        <v>450F@</v>
      </c>
      <c r="M713" s="150" t="str">
        <f t="shared" si="56"/>
        <v># DE VTE - RIST FIN USAGE BMW AUTO</v>
      </c>
      <c r="N713" s="151">
        <f>+IF(OR($Q713=Parametres!$G$2,$Q713=Parametres!$G$3),I713,C713)</f>
        <v>-18</v>
      </c>
      <c r="O713" s="151">
        <f>+IF(OR($Q713=Parametres!$G$2,$Q713=Parametres!$G$3),J713,D713)</f>
        <v>0</v>
      </c>
      <c r="P713" s="151">
        <f>+IF(OR($Q713=Parametres!$G$2,$Q713=Parametres!$G$3),K713,E713)</f>
        <v>-18</v>
      </c>
      <c r="Q713" s="150" t="str">
        <f t="shared" si="57"/>
        <v>10-Compte compteur</v>
      </c>
      <c r="R713" s="149" t="str">
        <f t="shared" si="58"/>
        <v>450</v>
      </c>
      <c r="S713" s="150" t="str">
        <f t="shared" si="59"/>
        <v>_</v>
      </c>
      <c r="T713" s="152" t="str">
        <f>+VLOOKUP($L713,Data_Validation!$A:$D,1,0)</f>
        <v>450F@</v>
      </c>
      <c r="U713" s="152" t="str">
        <f>+VLOOKUP($L713,Data_Validation!$A:$D,3,0)</f>
        <v>Véhicules usagés</v>
      </c>
      <c r="V713" s="152" t="str">
        <f>+VLOOKUP($L713,Data_Validation!$A:$D,4,0)</f>
        <v>Rev. Finances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2025</v>
      </c>
      <c r="B714" s="662" t="s">
        <v>2026</v>
      </c>
      <c r="C714" s="663"/>
      <c r="D714" s="663"/>
      <c r="E714" s="663"/>
      <c r="F714" s="662" t="s">
        <v>4</v>
      </c>
      <c r="G714" s="662" t="s">
        <v>1012</v>
      </c>
      <c r="H714" s="657" t="s">
        <v>2997</v>
      </c>
      <c r="I714" s="657">
        <v>-6</v>
      </c>
      <c r="J714" s="657">
        <v>0</v>
      </c>
      <c r="K714" s="657">
        <v>-6</v>
      </c>
      <c r="L714" s="149" t="str">
        <f t="shared" si="55"/>
        <v>450R@</v>
      </c>
      <c r="M714" s="150" t="str">
        <f t="shared" si="56"/>
        <v># DE VTE - ASS. REMP. USAGE BMW AUTO</v>
      </c>
      <c r="N714" s="151">
        <f>+IF(OR($Q714=Parametres!$G$2,$Q714=Parametres!$G$3),I714,C714)</f>
        <v>-6</v>
      </c>
      <c r="O714" s="151">
        <f>+IF(OR($Q714=Parametres!$G$2,$Q714=Parametres!$G$3),J714,D714)</f>
        <v>0</v>
      </c>
      <c r="P714" s="151">
        <f>+IF(OR($Q714=Parametres!$G$2,$Q714=Parametres!$G$3),K714,E714)</f>
        <v>-6</v>
      </c>
      <c r="Q714" s="150" t="str">
        <f t="shared" si="57"/>
        <v>10-Compte compteur</v>
      </c>
      <c r="R714" s="149" t="str">
        <f t="shared" si="58"/>
        <v>450</v>
      </c>
      <c r="S714" s="150" t="str">
        <f t="shared" si="59"/>
        <v>_</v>
      </c>
      <c r="T714" s="152" t="str">
        <f>+VLOOKUP($L714,Data_Validation!$A:$D,1,0)</f>
        <v>450R@</v>
      </c>
      <c r="U714" s="152" t="str">
        <f>+VLOOKUP($L714,Data_Validation!$A:$D,3,0)</f>
        <v>Véhicules usagés</v>
      </c>
      <c r="V714" s="152" t="str">
        <f>+VLOOKUP($L714,Data_Validation!$A:$D,4,0)</f>
        <v>Rev. Protections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1546</v>
      </c>
      <c r="B715" s="662" t="s">
        <v>1547</v>
      </c>
      <c r="C715" s="663"/>
      <c r="D715" s="663"/>
      <c r="E715" s="663"/>
      <c r="F715" s="662" t="s">
        <v>4</v>
      </c>
      <c r="G715" s="662" t="s">
        <v>1012</v>
      </c>
      <c r="H715" s="657" t="s">
        <v>2997</v>
      </c>
      <c r="I715" s="657">
        <v>-8</v>
      </c>
      <c r="J715" s="657">
        <v>0</v>
      </c>
      <c r="K715" s="657">
        <v>-8</v>
      </c>
      <c r="L715" s="149" t="str">
        <f t="shared" si="55"/>
        <v>450T@</v>
      </c>
      <c r="M715" s="150" t="str">
        <f t="shared" si="56"/>
        <v># DE SLS - TRAITEMENT OTOPROTEC USAGE BMW AUT</v>
      </c>
      <c r="N715" s="151">
        <f>+IF(OR($Q715=Parametres!$G$2,$Q715=Parametres!$G$3),I715,C715)</f>
        <v>-8</v>
      </c>
      <c r="O715" s="151">
        <f>+IF(OR($Q715=Parametres!$G$2,$Q715=Parametres!$G$3),J715,D715)</f>
        <v>0</v>
      </c>
      <c r="P715" s="151">
        <f>+IF(OR($Q715=Parametres!$G$2,$Q715=Parametres!$G$3),K715,E715)</f>
        <v>-8</v>
      </c>
      <c r="Q715" s="150" t="str">
        <f t="shared" si="57"/>
        <v>10-Compte compteur</v>
      </c>
      <c r="R715" s="149" t="str">
        <f t="shared" si="58"/>
        <v>450</v>
      </c>
      <c r="S715" s="150" t="str">
        <f t="shared" si="59"/>
        <v>_</v>
      </c>
      <c r="T715" s="152" t="str">
        <f>+VLOOKUP($L715,Data_Validation!$A:$D,1,0)</f>
        <v>450T@</v>
      </c>
      <c r="U715" s="152" t="str">
        <f>+VLOOKUP($L715,Data_Validation!$A:$D,3,0)</f>
        <v>Véhicules usagés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1550</v>
      </c>
      <c r="B716" s="662" t="s">
        <v>1551</v>
      </c>
      <c r="C716" s="663"/>
      <c r="D716" s="663"/>
      <c r="E716" s="663"/>
      <c r="F716" s="662" t="s">
        <v>4</v>
      </c>
      <c r="G716" s="662" t="s">
        <v>1012</v>
      </c>
      <c r="H716" s="657" t="s">
        <v>2997</v>
      </c>
      <c r="I716" s="657">
        <v>-3</v>
      </c>
      <c r="J716" s="657">
        <v>0</v>
      </c>
      <c r="K716" s="657">
        <v>-3</v>
      </c>
      <c r="L716" s="149" t="str">
        <f t="shared" si="55"/>
        <v>450V@</v>
      </c>
      <c r="M716" s="150" t="str">
        <f t="shared" si="56"/>
        <v># DE VTE - ASS VIE/INV USAGE BMW AUTO</v>
      </c>
      <c r="N716" s="151">
        <f>+IF(OR($Q716=Parametres!$G$2,$Q716=Parametres!$G$3),I716,C716)</f>
        <v>-3</v>
      </c>
      <c r="O716" s="151">
        <f>+IF(OR($Q716=Parametres!$G$2,$Q716=Parametres!$G$3),J716,D716)</f>
        <v>0</v>
      </c>
      <c r="P716" s="151">
        <f>+IF(OR($Q716=Parametres!$G$2,$Q716=Parametres!$G$3),K716,E716)</f>
        <v>-3</v>
      </c>
      <c r="Q716" s="150" t="str">
        <f t="shared" si="57"/>
        <v>10-Compte compteur</v>
      </c>
      <c r="R716" s="149" t="str">
        <f t="shared" si="58"/>
        <v>450</v>
      </c>
      <c r="S716" s="150" t="str">
        <f t="shared" si="59"/>
        <v>_</v>
      </c>
      <c r="T716" s="152" t="str">
        <f>+VLOOKUP($L716,Data_Validation!$A:$D,1,0)</f>
        <v>450V@</v>
      </c>
      <c r="U716" s="152" t="str">
        <f>+VLOOKUP($L716,Data_Validation!$A:$D,3,0)</f>
        <v>Véhicules usagés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1552</v>
      </c>
      <c r="B717" s="662" t="s">
        <v>1553</v>
      </c>
      <c r="C717" s="663"/>
      <c r="D717" s="663"/>
      <c r="E717" s="663"/>
      <c r="F717" s="662" t="s">
        <v>4</v>
      </c>
      <c r="G717" s="662" t="s">
        <v>374</v>
      </c>
      <c r="H717" s="657" t="s">
        <v>2997</v>
      </c>
      <c r="I717" s="657">
        <v>-43</v>
      </c>
      <c r="J717" s="657">
        <v>-4</v>
      </c>
      <c r="K717" s="657">
        <v>-47</v>
      </c>
      <c r="L717" s="149" t="str">
        <f t="shared" si="55"/>
        <v>451@</v>
      </c>
      <c r="M717" s="150" t="str">
        <f t="shared" si="56"/>
        <v># DE VTE - MARQUAGE OTOPROTEC USAGE AUTRE</v>
      </c>
      <c r="N717" s="151">
        <f>+IF(OR($Q717=Parametres!$G$2,$Q717=Parametres!$G$3),I717,C717)</f>
        <v>-43</v>
      </c>
      <c r="O717" s="151">
        <f>+IF(OR($Q717=Parametres!$G$2,$Q717=Parametres!$G$3),J717,D717)</f>
        <v>-4</v>
      </c>
      <c r="P717" s="151">
        <f>+IF(OR($Q717=Parametres!$G$2,$Q717=Parametres!$G$3),K717,E717)</f>
        <v>-47</v>
      </c>
      <c r="Q717" s="150" t="str">
        <f t="shared" si="57"/>
        <v>10-Compte compteur</v>
      </c>
      <c r="R717" s="149" t="str">
        <f t="shared" si="58"/>
        <v>451</v>
      </c>
      <c r="S717" s="150" t="str">
        <f t="shared" si="59"/>
        <v>_</v>
      </c>
      <c r="T717" s="152" t="str">
        <f>+VLOOKUP($L717,Data_Validation!$A:$D,1,0)</f>
        <v>451@</v>
      </c>
      <c r="U717" s="152" t="str">
        <f>+VLOOKUP($L717,Data_Validation!$A:$D,3,0)</f>
        <v>Véhicules usagés</v>
      </c>
      <c r="V717" s="152" t="str">
        <f>+VLOOKUP($L717,Data_Validation!$A:$D,4,0)</f>
        <v>Rev. Autres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2110</v>
      </c>
      <c r="B718" s="662" t="s">
        <v>2109</v>
      </c>
      <c r="C718" s="663"/>
      <c r="D718" s="663"/>
      <c r="E718" s="663"/>
      <c r="F718" s="662" t="s">
        <v>4</v>
      </c>
      <c r="G718" s="662" t="s">
        <v>374</v>
      </c>
      <c r="H718" s="657" t="s">
        <v>2997</v>
      </c>
      <c r="I718" s="657">
        <v>-4</v>
      </c>
      <c r="J718" s="657">
        <v>0</v>
      </c>
      <c r="K718" s="657">
        <v>-4</v>
      </c>
      <c r="L718" s="149" t="str">
        <f t="shared" si="55"/>
        <v>451C@</v>
      </c>
      <c r="M718" s="150" t="str">
        <f t="shared" si="56"/>
        <v># DE VTE - ACCESSOIRES USAGE AUTRE</v>
      </c>
      <c r="N718" s="151">
        <f>+IF(OR($Q718=Parametres!$G$2,$Q718=Parametres!$G$3),I718,C718)</f>
        <v>-4</v>
      </c>
      <c r="O718" s="151">
        <f>+IF(OR($Q718=Parametres!$G$2,$Q718=Parametres!$G$3),J718,D718)</f>
        <v>0</v>
      </c>
      <c r="P718" s="151">
        <f>+IF(OR($Q718=Parametres!$G$2,$Q718=Parametres!$G$3),K718,E718)</f>
        <v>-4</v>
      </c>
      <c r="Q718" s="150" t="str">
        <f t="shared" si="57"/>
        <v>10-Compte compteur</v>
      </c>
      <c r="R718" s="149" t="str">
        <f t="shared" si="58"/>
        <v>451</v>
      </c>
      <c r="S718" s="150" t="str">
        <f t="shared" si="59"/>
        <v>_</v>
      </c>
      <c r="T718" s="152" t="str">
        <f>+VLOOKUP($L718,Data_Validation!$A:$D,1,0)</f>
        <v>451C@</v>
      </c>
      <c r="U718" s="152" t="str">
        <f>+VLOOKUP($L718,Data_Validation!$A:$D,3,0)</f>
        <v>Véhicules usagés</v>
      </c>
      <c r="V718" s="152" t="str">
        <f>+VLOOKUP($L718,Data_Validation!$A:$D,4,0)</f>
        <v>Rev. Autres</v>
      </c>
      <c r="W718" s="152" t="str">
        <f>+VLOOKUP($L718,Data_Validation!$A:$E,5,0)</f>
        <v>nb</v>
      </c>
    </row>
    <row r="719" spans="1:24" ht="15.75" customHeight="1">
      <c r="A719" s="662" t="s">
        <v>2920</v>
      </c>
      <c r="B719" s="662" t="s">
        <v>2921</v>
      </c>
      <c r="C719" s="663"/>
      <c r="D719" s="663"/>
      <c r="E719" s="663"/>
      <c r="F719" s="662" t="s">
        <v>4</v>
      </c>
      <c r="G719" s="662" t="s">
        <v>374</v>
      </c>
      <c r="H719" s="657" t="s">
        <v>2997</v>
      </c>
      <c r="I719" s="657">
        <v>-5</v>
      </c>
      <c r="J719" s="657">
        <v>0</v>
      </c>
      <c r="K719" s="657">
        <v>-5</v>
      </c>
      <c r="L719" s="149" t="str">
        <f t="shared" si="55"/>
        <v>451R@</v>
      </c>
      <c r="M719" s="150" t="str">
        <f t="shared" si="56"/>
        <v># DE VTE - ASS. REMP. USAGE AUTRE</v>
      </c>
      <c r="N719" s="151">
        <f>+IF(OR($Q719=Parametres!$G$2,$Q719=Parametres!$G$3),I719,C719)</f>
        <v>-5</v>
      </c>
      <c r="O719" s="151">
        <f>+IF(OR($Q719=Parametres!$G$2,$Q719=Parametres!$G$3),J719,D719)</f>
        <v>0</v>
      </c>
      <c r="P719" s="151">
        <f>+IF(OR($Q719=Parametres!$G$2,$Q719=Parametres!$G$3),K719,E719)</f>
        <v>-5</v>
      </c>
      <c r="Q719" s="150" t="str">
        <f t="shared" si="57"/>
        <v>10-Compte compteur</v>
      </c>
      <c r="R719" s="149" t="str">
        <f t="shared" si="58"/>
        <v>451</v>
      </c>
      <c r="S719" s="150" t="str">
        <f t="shared" si="59"/>
        <v>_</v>
      </c>
      <c r="T719" s="152" t="str">
        <f>+VLOOKUP($L719,Data_Validation!$A:$D,1,0)</f>
        <v>451R@</v>
      </c>
      <c r="U719" s="152" t="str">
        <f>+VLOOKUP($L719,Data_Validation!$A:$D,3,0)</f>
        <v>Véhicules usagés</v>
      </c>
      <c r="V719" s="152" t="str">
        <f>+VLOOKUP($L719,Data_Validation!$A:$D,4,0)</f>
        <v>Rev. Protections</v>
      </c>
      <c r="W719" s="152" t="str">
        <f>+VLOOKUP($L719,Data_Validation!$A:$E,5,0)</f>
        <v>nb</v>
      </c>
    </row>
    <row r="720" spans="1:24" ht="15.75" customHeight="1">
      <c r="A720" s="662" t="s">
        <v>2210</v>
      </c>
      <c r="B720" s="662" t="s">
        <v>2211</v>
      </c>
      <c r="C720" s="663"/>
      <c r="D720" s="663"/>
      <c r="E720" s="663"/>
      <c r="F720" s="662" t="s">
        <v>4</v>
      </c>
      <c r="G720" s="662" t="s">
        <v>374</v>
      </c>
      <c r="H720" s="657" t="s">
        <v>2997</v>
      </c>
      <c r="I720" s="657">
        <v>-1</v>
      </c>
      <c r="J720" s="657">
        <v>0</v>
      </c>
      <c r="K720" s="657">
        <v>-1</v>
      </c>
      <c r="L720" s="149" t="str">
        <f t="shared" si="55"/>
        <v>451V@</v>
      </c>
      <c r="M720" s="150" t="str">
        <f t="shared" si="56"/>
        <v># DE VTE - ASS VIE/INV USAGE AUTRE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451</v>
      </c>
      <c r="S720" s="150" t="str">
        <f t="shared" si="59"/>
        <v>_</v>
      </c>
      <c r="T720" s="152" t="str">
        <f>+VLOOKUP($L720,Data_Validation!$A:$D,1,0)</f>
        <v>451V@</v>
      </c>
      <c r="U720" s="152" t="str">
        <f>+VLOOKUP($L720,Data_Validation!$A:$D,3,0)</f>
        <v>Véhicules usagés</v>
      </c>
      <c r="V720" s="152" t="str">
        <f>+VLOOKUP($L720,Data_Validation!$A:$D,4,0)</f>
        <v>Rev. Protections</v>
      </c>
      <c r="W720" s="152" t="str">
        <f>+VLOOKUP($L720,Data_Validation!$A:$E,5,0)</f>
        <v>NB</v>
      </c>
    </row>
    <row r="721" spans="1:24" ht="15.75" customHeight="1">
      <c r="A721" s="662" t="s">
        <v>1556</v>
      </c>
      <c r="B721" s="662" t="s">
        <v>734</v>
      </c>
      <c r="C721" s="663"/>
      <c r="D721" s="663"/>
      <c r="E721" s="663"/>
      <c r="F721" s="662" t="s">
        <v>4</v>
      </c>
      <c r="G721" s="662" t="s">
        <v>368</v>
      </c>
      <c r="H721" s="153" t="s">
        <v>2997</v>
      </c>
      <c r="I721" s="153">
        <v>-19</v>
      </c>
      <c r="J721" s="153">
        <v>0</v>
      </c>
      <c r="K721" s="153">
        <v>-19</v>
      </c>
      <c r="L721" s="149" t="str">
        <f t="shared" si="55"/>
        <v>452@</v>
      </c>
      <c r="M721" s="150" t="str">
        <f t="shared" si="56"/>
        <v># DE VTE - GAR PROL USAGE BMW AUTO</v>
      </c>
      <c r="N721" s="151">
        <f>+IF(OR($Q721=Parametres!$G$2,$Q721=Parametres!$G$3),I721,C721)</f>
        <v>-19</v>
      </c>
      <c r="O721" s="151">
        <f>+IF(OR($Q721=Parametres!$G$2,$Q721=Parametres!$G$3),J721,D721)</f>
        <v>0</v>
      </c>
      <c r="P721" s="151">
        <f>+IF(OR($Q721=Parametres!$G$2,$Q721=Parametres!$G$3),K721,E721)</f>
        <v>-19</v>
      </c>
      <c r="Q721" s="150" t="str">
        <f t="shared" si="57"/>
        <v>10-Compte compteur</v>
      </c>
      <c r="R721" s="149" t="str">
        <f t="shared" si="58"/>
        <v>452</v>
      </c>
      <c r="S721" s="150" t="str">
        <f t="shared" si="59"/>
        <v>_</v>
      </c>
      <c r="T721" s="152" t="str">
        <f>+VLOOKUP($L721,Data_Validation!$A:$D,1,0)</f>
        <v>452@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4" ht="15.75" customHeight="1">
      <c r="A722" s="662" t="s">
        <v>1557</v>
      </c>
      <c r="B722" s="662" t="s">
        <v>735</v>
      </c>
      <c r="C722" s="663"/>
      <c r="D722" s="663"/>
      <c r="E722" s="663"/>
      <c r="F722" s="662" t="s">
        <v>4</v>
      </c>
      <c r="G722" s="662" t="s">
        <v>631</v>
      </c>
      <c r="H722" s="153" t="s">
        <v>2997</v>
      </c>
      <c r="I722" s="153">
        <v>-1</v>
      </c>
      <c r="J722" s="153">
        <v>0</v>
      </c>
      <c r="K722" s="153">
        <v>-1</v>
      </c>
      <c r="L722" s="149" t="str">
        <f t="shared" si="55"/>
        <v>452A@</v>
      </c>
      <c r="M722" s="150" t="str">
        <f t="shared" si="56"/>
        <v># OF VTES -VTES - Z4 30I XDR</v>
      </c>
      <c r="N722" s="151">
        <f>+IF(OR($Q722=Parametres!$G$2,$Q722=Parametres!$G$3),I722,C722)</f>
        <v>-1</v>
      </c>
      <c r="O722" s="151">
        <f>+IF(OR($Q722=Parametres!$G$2,$Q722=Parametres!$G$3),J722,D722)</f>
        <v>0</v>
      </c>
      <c r="P722" s="151">
        <f>+IF(OR($Q722=Parametres!$G$2,$Q722=Parametres!$G$3),K722,E722)</f>
        <v>-1</v>
      </c>
      <c r="Q722" s="150" t="str">
        <f t="shared" si="57"/>
        <v>10-Compte compteur</v>
      </c>
      <c r="R722" s="149" t="str">
        <f t="shared" si="58"/>
        <v>452A</v>
      </c>
      <c r="S722" s="150" t="str">
        <f t="shared" si="59"/>
        <v>_</v>
      </c>
      <c r="T722" s="152" t="str">
        <f>+VLOOKUP($L722,Data_Validation!$A:$D,1,0)</f>
        <v>452A@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62" t="s">
        <v>736</v>
      </c>
      <c r="B723" s="662" t="s">
        <v>737</v>
      </c>
      <c r="C723" s="663"/>
      <c r="D723" s="663"/>
      <c r="E723" s="663"/>
      <c r="F723" s="662" t="s">
        <v>4</v>
      </c>
      <c r="G723" s="662" t="s">
        <v>633</v>
      </c>
      <c r="H723" s="153" t="s">
        <v>2997</v>
      </c>
      <c r="I723" s="153">
        <v>-3</v>
      </c>
      <c r="J723" s="153">
        <v>0</v>
      </c>
      <c r="K723" s="153">
        <v>-3</v>
      </c>
      <c r="L723" s="149" t="str">
        <f t="shared" si="55"/>
        <v>452B@</v>
      </c>
      <c r="M723" s="150" t="str">
        <f t="shared" si="56"/>
        <v># OF VTES -VTES - Z4 M40I</v>
      </c>
      <c r="N723" s="151">
        <f>+IF(OR($Q723=Parametres!$G$2,$Q723=Parametres!$G$3),I723,C723)</f>
        <v>-3</v>
      </c>
      <c r="O723" s="151">
        <f>+IF(OR($Q723=Parametres!$G$2,$Q723=Parametres!$G$3),J723,D723)</f>
        <v>0</v>
      </c>
      <c r="P723" s="151">
        <f>+IF(OR($Q723=Parametres!$G$2,$Q723=Parametres!$G$3),K723,E723)</f>
        <v>-3</v>
      </c>
      <c r="Q723" s="150" t="str">
        <f t="shared" si="57"/>
        <v>10-Compte compteur</v>
      </c>
      <c r="R723" s="149" t="str">
        <f t="shared" si="58"/>
        <v>452B</v>
      </c>
      <c r="S723" s="150" t="str">
        <f t="shared" si="59"/>
        <v>_</v>
      </c>
      <c r="T723" s="152" t="str">
        <f>+VLOOKUP($L723,Data_Validation!$A:$D,1,0)</f>
        <v>452B@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62" t="s">
        <v>1992</v>
      </c>
      <c r="B724" s="662" t="s">
        <v>1993</v>
      </c>
      <c r="C724" s="663"/>
      <c r="D724" s="663"/>
      <c r="E724" s="663"/>
      <c r="F724" s="662" t="s">
        <v>4</v>
      </c>
      <c r="G724" s="662" t="s">
        <v>368</v>
      </c>
      <c r="H724" s="153" t="s">
        <v>2997</v>
      </c>
      <c r="I724" s="153">
        <v>-16</v>
      </c>
      <c r="J724" s="153">
        <v>-3</v>
      </c>
      <c r="K724" s="153">
        <v>-19</v>
      </c>
      <c r="L724" s="149" t="str">
        <f t="shared" si="55"/>
        <v>452C@</v>
      </c>
      <c r="M724" s="150" t="str">
        <f t="shared" si="56"/>
        <v># OF VTES -GAR PROL USAGE BMW NON-CERT</v>
      </c>
      <c r="N724" s="151">
        <f>+IF(OR($Q724=Parametres!$G$2,$Q724=Parametres!$G$3),I724,C724)</f>
        <v>-16</v>
      </c>
      <c r="O724" s="151">
        <f>+IF(OR($Q724=Parametres!$G$2,$Q724=Parametres!$G$3),J724,D724)</f>
        <v>-3</v>
      </c>
      <c r="P724" s="151">
        <f>+IF(OR($Q724=Parametres!$G$2,$Q724=Parametres!$G$3),K724,E724)</f>
        <v>-19</v>
      </c>
      <c r="Q724" s="150" t="str">
        <f t="shared" si="57"/>
        <v>10-Compte compteur</v>
      </c>
      <c r="R724" s="149" t="str">
        <f t="shared" si="58"/>
        <v>452</v>
      </c>
      <c r="S724" s="150" t="str">
        <f t="shared" si="59"/>
        <v>_</v>
      </c>
      <c r="T724" s="152" t="str">
        <f>+VLOOKUP($L724,Data_Validation!$A:$D,1,0)</f>
        <v>452C@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4" ht="15.75" customHeight="1">
      <c r="A725" s="662" t="s">
        <v>1558</v>
      </c>
      <c r="B725" s="662" t="s">
        <v>1559</v>
      </c>
      <c r="C725" s="663"/>
      <c r="D725" s="663"/>
      <c r="E725" s="663"/>
      <c r="F725" s="662" t="s">
        <v>4</v>
      </c>
      <c r="G725" s="662" t="s">
        <v>369</v>
      </c>
      <c r="H725" s="153" t="s">
        <v>2997</v>
      </c>
      <c r="I725" s="153">
        <v>-18</v>
      </c>
      <c r="J725" s="153">
        <v>-1</v>
      </c>
      <c r="K725" s="153">
        <v>-19</v>
      </c>
      <c r="L725" s="149" t="str">
        <f t="shared" si="55"/>
        <v>453@</v>
      </c>
      <c r="M725" s="150" t="str">
        <f t="shared" si="56"/>
        <v># DE VTE - RIST FINANCE USAGE AUTRE</v>
      </c>
      <c r="N725" s="151">
        <f>+IF(OR($Q725=Parametres!$G$2,$Q725=Parametres!$G$3),I725,C725)</f>
        <v>-18</v>
      </c>
      <c r="O725" s="151">
        <f>+IF(OR($Q725=Parametres!$G$2,$Q725=Parametres!$G$3),J725,D725)</f>
        <v>-1</v>
      </c>
      <c r="P725" s="151">
        <f>+IF(OR($Q725=Parametres!$G$2,$Q725=Parametres!$G$3),K725,E725)</f>
        <v>-19</v>
      </c>
      <c r="Q725" s="150" t="str">
        <f t="shared" si="57"/>
        <v>10-Compte compteur</v>
      </c>
      <c r="R725" s="149" t="str">
        <f t="shared" si="58"/>
        <v>453</v>
      </c>
      <c r="S725" s="150" t="str">
        <f t="shared" si="59"/>
        <v>_</v>
      </c>
      <c r="T725" s="152" t="str">
        <f>+VLOOKUP($L725,Data_Validation!$A:$D,1,0)</f>
        <v>453@</v>
      </c>
      <c r="U725" s="152" t="str">
        <f>+VLOOKUP($L725,Data_Validation!$A:$D,3,0)</f>
        <v>Véhicules usagés</v>
      </c>
      <c r="V725" s="152" t="str">
        <f>+VLOOKUP($L725,Data_Validation!$A:$D,4,0)</f>
        <v>Rev. Finances</v>
      </c>
      <c r="W725" s="152" t="str">
        <f>+VLOOKUP($L725,Data_Validation!$A:$E,5,0)</f>
        <v>nb</v>
      </c>
    </row>
    <row r="726" spans="1:24" ht="15.75" customHeight="1">
      <c r="A726" s="662" t="s">
        <v>2376</v>
      </c>
      <c r="B726" s="662" t="s">
        <v>2377</v>
      </c>
      <c r="C726" s="663"/>
      <c r="D726" s="663"/>
      <c r="E726" s="663"/>
      <c r="F726" s="662" t="s">
        <v>4</v>
      </c>
      <c r="G726" s="662" t="s">
        <v>2360</v>
      </c>
      <c r="H726" s="153" t="s">
        <v>2997</v>
      </c>
      <c r="I726" s="153">
        <v>-11</v>
      </c>
      <c r="J726" s="153">
        <v>-1</v>
      </c>
      <c r="K726" s="153">
        <v>-12</v>
      </c>
      <c r="L726" s="149" t="str">
        <f t="shared" si="55"/>
        <v>454@</v>
      </c>
      <c r="M726" s="150" t="str">
        <f t="shared" si="56"/>
        <v># DE VTE - CONT ENTR USAGE BMW AUTO</v>
      </c>
      <c r="N726" s="151">
        <f>+IF(OR($Q726=Parametres!$G$2,$Q726=Parametres!$G$3),I726,C726)</f>
        <v>-11</v>
      </c>
      <c r="O726" s="151">
        <f>+IF(OR($Q726=Parametres!$G$2,$Q726=Parametres!$G$3),J726,D726)</f>
        <v>-1</v>
      </c>
      <c r="P726" s="151">
        <f>+IF(OR($Q726=Parametres!$G$2,$Q726=Parametres!$G$3),K726,E726)</f>
        <v>-12</v>
      </c>
      <c r="Q726" s="150" t="str">
        <f t="shared" si="57"/>
        <v>10-Compte compteur</v>
      </c>
      <c r="R726" s="149" t="str">
        <f t="shared" si="58"/>
        <v>454</v>
      </c>
      <c r="S726" s="150" t="str">
        <f t="shared" si="59"/>
        <v>_</v>
      </c>
      <c r="T726" s="152" t="str">
        <f>+VLOOKUP($L726,Data_Validation!$A:$D,1,0)</f>
        <v>454@</v>
      </c>
      <c r="U726" s="152" t="str">
        <f>+VLOOKUP($L726,Data_Validation!$A:$D,3,0)</f>
        <v>Véhicules usagés</v>
      </c>
      <c r="V726" s="152" t="str">
        <f>+VLOOKUP($L726,Data_Validation!$A:$D,4,0)</f>
        <v>Rev. Protections</v>
      </c>
      <c r="W726" s="152" t="str">
        <f>+VLOOKUP($L726,Data_Validation!$A:$E,5,0)</f>
        <v>NB</v>
      </c>
    </row>
    <row r="727" spans="1:24" ht="15.75" customHeight="1">
      <c r="A727" s="662" t="s">
        <v>2181</v>
      </c>
      <c r="B727" s="662" t="s">
        <v>2182</v>
      </c>
      <c r="C727" s="663"/>
      <c r="D727" s="663"/>
      <c r="E727" s="663"/>
      <c r="F727" s="662" t="s">
        <v>4</v>
      </c>
      <c r="G727" s="662" t="s">
        <v>2360</v>
      </c>
      <c r="H727" s="153" t="s">
        <v>2997</v>
      </c>
      <c r="I727" s="153">
        <v>-70</v>
      </c>
      <c r="J727" s="153">
        <v>-9</v>
      </c>
      <c r="K727" s="153">
        <v>-79</v>
      </c>
      <c r="L727" s="149" t="str">
        <f t="shared" si="55"/>
        <v>454A@</v>
      </c>
      <c r="M727" s="150" t="str">
        <f t="shared" si="56"/>
        <v># OF VTES -CONT ENTRET USAGE BMW NON-CERT</v>
      </c>
      <c r="N727" s="151">
        <f>+IF(OR($Q727=Parametres!$G$2,$Q727=Parametres!$G$3),I727,C727)</f>
        <v>-70</v>
      </c>
      <c r="O727" s="151">
        <f>+IF(OR($Q727=Parametres!$G$2,$Q727=Parametres!$G$3),J727,D727)</f>
        <v>-9</v>
      </c>
      <c r="P727" s="151">
        <f>+IF(OR($Q727=Parametres!$G$2,$Q727=Parametres!$G$3),K727,E727)</f>
        <v>-79</v>
      </c>
      <c r="Q727" s="150" t="str">
        <f t="shared" si="57"/>
        <v>10-Compte compteur</v>
      </c>
      <c r="R727" s="149" t="str">
        <f t="shared" si="58"/>
        <v>454</v>
      </c>
      <c r="S727" s="150" t="str">
        <f t="shared" si="59"/>
        <v>_</v>
      </c>
      <c r="T727" s="152" t="str">
        <f>+VLOOKUP($L727,Data_Validation!$A:$D,1,0)</f>
        <v>454A@</v>
      </c>
      <c r="U727" s="152" t="str">
        <f>+VLOOKUP($L727,Data_Validation!$A:$D,3,0)</f>
        <v>Véhicules usagés</v>
      </c>
      <c r="V727" s="152" t="str">
        <f>+VLOOKUP($L727,Data_Validation!$A:$D,4,0)</f>
        <v>Rev. Protections</v>
      </c>
      <c r="W727" s="152" t="str">
        <f>+VLOOKUP($L727,Data_Validation!$A:$E,5,0)</f>
        <v>NB</v>
      </c>
    </row>
    <row r="728" spans="1:24" ht="15.75" customHeight="1">
      <c r="A728" s="662" t="s">
        <v>2137</v>
      </c>
      <c r="B728" s="662" t="s">
        <v>2138</v>
      </c>
      <c r="C728" s="663"/>
      <c r="D728" s="663"/>
      <c r="E728" s="663"/>
      <c r="F728" s="662" t="s">
        <v>4</v>
      </c>
      <c r="G728" s="662" t="s">
        <v>1012</v>
      </c>
      <c r="H728" s="153" t="s">
        <v>2997</v>
      </c>
      <c r="I728" s="153">
        <v>-3</v>
      </c>
      <c r="J728" s="153">
        <v>-1</v>
      </c>
      <c r="K728" s="153">
        <v>-4</v>
      </c>
      <c r="L728" s="149" t="str">
        <f t="shared" si="55"/>
        <v>454C@</v>
      </c>
      <c r="M728" s="150" t="str">
        <f t="shared" si="56"/>
        <v># OF VTES -ACCESSOIRES USAGE BMW NON-CERT</v>
      </c>
      <c r="N728" s="151">
        <f>+IF(OR($Q728=Parametres!$G$2,$Q728=Parametres!$G$3),I728,C728)</f>
        <v>-3</v>
      </c>
      <c r="O728" s="151">
        <f>+IF(OR($Q728=Parametres!$G$2,$Q728=Parametres!$G$3),J728,D728)</f>
        <v>-1</v>
      </c>
      <c r="P728" s="151">
        <f>+IF(OR($Q728=Parametres!$G$2,$Q728=Parametres!$G$3),K728,E728)</f>
        <v>-4</v>
      </c>
      <c r="Q728" s="150" t="str">
        <f t="shared" si="57"/>
        <v>10-Compte compteur</v>
      </c>
      <c r="R728" s="149" t="str">
        <f t="shared" si="58"/>
        <v>450</v>
      </c>
      <c r="S728" s="150" t="str">
        <f t="shared" si="59"/>
        <v>_</v>
      </c>
      <c r="T728" s="152" t="str">
        <f>+VLOOKUP($L728,Data_Validation!$A:$D,1,0)</f>
        <v>454C@</v>
      </c>
      <c r="U728" s="152" t="str">
        <f>+VLOOKUP($L728,Data_Validation!$A:$D,3,0)</f>
        <v>Véhicules usagés</v>
      </c>
      <c r="V728" s="152" t="str">
        <f>+VLOOKUP($L728,Data_Validation!$A:$D,4,0)</f>
        <v>Rev. Autres</v>
      </c>
      <c r="W728" s="152" t="str">
        <f>+VLOOKUP($L728,Data_Validation!$A:$E,5,0)</f>
        <v>NB</v>
      </c>
    </row>
    <row r="729" spans="1:24" ht="15.75" customHeight="1">
      <c r="A729" s="662" t="s">
        <v>2074</v>
      </c>
      <c r="B729" s="662" t="s">
        <v>2075</v>
      </c>
      <c r="C729" s="663"/>
      <c r="D729" s="663"/>
      <c r="E729" s="663"/>
      <c r="F729" s="662" t="s">
        <v>4</v>
      </c>
      <c r="G729" s="662" t="s">
        <v>1012</v>
      </c>
      <c r="H729" s="153" t="s">
        <v>2997</v>
      </c>
      <c r="I729" s="153">
        <v>-2</v>
      </c>
      <c r="J729" s="153">
        <v>0</v>
      </c>
      <c r="K729" s="153">
        <v>-2</v>
      </c>
      <c r="L729" s="149" t="str">
        <f t="shared" si="55"/>
        <v>454E@</v>
      </c>
      <c r="M729" s="150" t="str">
        <f t="shared" si="56"/>
        <v># OF VTES -PROTEC ESTHETIQUE USAGE BMW NON-CE</v>
      </c>
      <c r="N729" s="151">
        <f>+IF(OR($Q729=Parametres!$G$2,$Q729=Parametres!$G$3),I729,C729)</f>
        <v>-2</v>
      </c>
      <c r="O729" s="151">
        <f>+IF(OR($Q729=Parametres!$G$2,$Q729=Parametres!$G$3),J729,D729)</f>
        <v>0</v>
      </c>
      <c r="P729" s="151">
        <f>+IF(OR($Q729=Parametres!$G$2,$Q729=Parametres!$G$3),K729,E729)</f>
        <v>-2</v>
      </c>
      <c r="Q729" s="150" t="str">
        <f t="shared" si="57"/>
        <v>10-Compte compteur</v>
      </c>
      <c r="R729" s="149" t="str">
        <f t="shared" si="58"/>
        <v>450</v>
      </c>
      <c r="S729" s="150" t="str">
        <f t="shared" si="59"/>
        <v>_</v>
      </c>
      <c r="T729" s="152" t="str">
        <f>+VLOOKUP($L729,Data_Validation!$A:$D,1,0)</f>
        <v>454E@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2" t="s">
        <v>1957</v>
      </c>
      <c r="B730" s="662" t="s">
        <v>1958</v>
      </c>
      <c r="C730" s="663"/>
      <c r="D730" s="663"/>
      <c r="E730" s="663"/>
      <c r="F730" s="662" t="s">
        <v>4</v>
      </c>
      <c r="G730" s="662" t="s">
        <v>1012</v>
      </c>
      <c r="H730" s="153" t="s">
        <v>2997</v>
      </c>
      <c r="I730" s="153">
        <v>-14</v>
      </c>
      <c r="J730" s="153">
        <v>-1</v>
      </c>
      <c r="K730" s="153">
        <v>-15</v>
      </c>
      <c r="L730" s="149" t="str">
        <f t="shared" si="55"/>
        <v>454F@</v>
      </c>
      <c r="M730" s="150" t="str">
        <f t="shared" si="56"/>
        <v># OF VTES -RIST FINANCE USAGE BMW NON-CERT</v>
      </c>
      <c r="N730" s="151">
        <f>+IF(OR($Q730=Parametres!$G$2,$Q730=Parametres!$G$3),I730,C730)</f>
        <v>-14</v>
      </c>
      <c r="O730" s="151">
        <f>+IF(OR($Q730=Parametres!$G$2,$Q730=Parametres!$G$3),J730,D730)</f>
        <v>-1</v>
      </c>
      <c r="P730" s="151">
        <f>+IF(OR($Q730=Parametres!$G$2,$Q730=Parametres!$G$3),K730,E730)</f>
        <v>-15</v>
      </c>
      <c r="Q730" s="150" t="str">
        <f t="shared" si="57"/>
        <v>10-Compte compteur</v>
      </c>
      <c r="R730" s="149" t="str">
        <f t="shared" si="58"/>
        <v>450</v>
      </c>
      <c r="S730" s="150" t="str">
        <f t="shared" si="59"/>
        <v>_</v>
      </c>
      <c r="T730" s="152" t="str">
        <f>+VLOOKUP($L730,Data_Validation!$A:$D,1,0)</f>
        <v>454F@</v>
      </c>
      <c r="U730" s="152" t="str">
        <f>+VLOOKUP($L730,Data_Validation!$A:$D,3,0)</f>
        <v>Véhicules usagés</v>
      </c>
      <c r="V730" s="152" t="str">
        <f>+VLOOKUP($L730,Data_Validation!$A:$D,4,0)</f>
        <v>Rev. Finances</v>
      </c>
      <c r="W730" s="152" t="str">
        <f>+VLOOKUP($L730,Data_Validation!$A:$E,5,0)</f>
        <v>nb</v>
      </c>
    </row>
    <row r="731" spans="1:24" ht="15.75" customHeight="1">
      <c r="A731" s="662" t="s">
        <v>1959</v>
      </c>
      <c r="B731" s="662" t="s">
        <v>1960</v>
      </c>
      <c r="C731" s="663"/>
      <c r="D731" s="663"/>
      <c r="E731" s="663"/>
      <c r="F731" s="662" t="s">
        <v>4</v>
      </c>
      <c r="G731" s="662" t="s">
        <v>1012</v>
      </c>
      <c r="H731" s="153" t="s">
        <v>2997</v>
      </c>
      <c r="I731" s="153">
        <v>-50</v>
      </c>
      <c r="J731" s="153">
        <v>-6</v>
      </c>
      <c r="K731" s="153">
        <v>-56</v>
      </c>
      <c r="L731" s="149" t="str">
        <f t="shared" si="55"/>
        <v>454M@</v>
      </c>
      <c r="M731" s="150" t="str">
        <f t="shared" si="56"/>
        <v># OF VTES -MARQUAGE USAGE BMW NON-CERT</v>
      </c>
      <c r="N731" s="151">
        <f>+IF(OR($Q731=Parametres!$G$2,$Q731=Parametres!$G$3),I731,C731)</f>
        <v>-50</v>
      </c>
      <c r="O731" s="151">
        <f>+IF(OR($Q731=Parametres!$G$2,$Q731=Parametres!$G$3),J731,D731)</f>
        <v>-6</v>
      </c>
      <c r="P731" s="151">
        <f>+IF(OR($Q731=Parametres!$G$2,$Q731=Parametres!$G$3),K731,E731)</f>
        <v>-56</v>
      </c>
      <c r="Q731" s="150" t="str">
        <f t="shared" si="57"/>
        <v>10-Compte compteur</v>
      </c>
      <c r="R731" s="149" t="str">
        <f t="shared" si="58"/>
        <v>450</v>
      </c>
      <c r="S731" s="150" t="str">
        <f t="shared" si="59"/>
        <v>_</v>
      </c>
      <c r="T731" s="152" t="str">
        <f>+VLOOKUP($L731,Data_Validation!$A:$D,1,0)</f>
        <v>454M@</v>
      </c>
      <c r="U731" s="152" t="str">
        <f>+VLOOKUP($L731,Data_Validation!$A:$D,3,0)</f>
        <v>Véhicules usagés</v>
      </c>
      <c r="V731" s="152" t="str">
        <f>+VLOOKUP($L731,Data_Validation!$A:$D,4,0)</f>
        <v>Rev. Protections</v>
      </c>
      <c r="W731" s="152" t="str">
        <f>+VLOOKUP($L731,Data_Validation!$A:$E,5,0)</f>
        <v>nb</v>
      </c>
    </row>
    <row r="732" spans="1:24" ht="15.75" customHeight="1">
      <c r="A732" s="662" t="s">
        <v>2434</v>
      </c>
      <c r="B732" s="662" t="s">
        <v>2435</v>
      </c>
      <c r="C732" s="663"/>
      <c r="D732" s="663"/>
      <c r="E732" s="663"/>
      <c r="F732" s="662" t="s">
        <v>4</v>
      </c>
      <c r="G732" s="662" t="s">
        <v>1012</v>
      </c>
      <c r="H732" s="153" t="s">
        <v>2997</v>
      </c>
      <c r="I732" s="153">
        <v>-7</v>
      </c>
      <c r="J732" s="153">
        <v>0</v>
      </c>
      <c r="K732" s="153">
        <v>-7</v>
      </c>
      <c r="L732" s="149" t="str">
        <f t="shared" si="55"/>
        <v>454R@</v>
      </c>
      <c r="M732" s="150" t="str">
        <f t="shared" si="56"/>
        <v># OF VTES -ASS. REMP. USAGE BMW NON-CERT</v>
      </c>
      <c r="N732" s="151">
        <f>+IF(OR($Q732=Parametres!$G$2,$Q732=Parametres!$G$3),I732,C732)</f>
        <v>-7</v>
      </c>
      <c r="O732" s="151">
        <f>+IF(OR($Q732=Parametres!$G$2,$Q732=Parametres!$G$3),J732,D732)</f>
        <v>0</v>
      </c>
      <c r="P732" s="151">
        <f>+IF(OR($Q732=Parametres!$G$2,$Q732=Parametres!$G$3),K732,E732)</f>
        <v>-7</v>
      </c>
      <c r="Q732" s="150" t="str">
        <f t="shared" si="57"/>
        <v>10-Compte compteur</v>
      </c>
      <c r="R732" s="149" t="str">
        <f t="shared" si="58"/>
        <v>450</v>
      </c>
      <c r="S732" s="150" t="str">
        <f t="shared" si="59"/>
        <v>_</v>
      </c>
      <c r="T732" s="152" t="str">
        <f>+VLOOKUP($L732,Data_Validation!$A:$D,1,0)</f>
        <v>454R@</v>
      </c>
      <c r="U732" s="152" t="str">
        <f>+VLOOKUP($L732,Data_Validation!$A:$D,3,0)</f>
        <v>Véhicules usagés</v>
      </c>
      <c r="V732" s="152" t="str">
        <f>+VLOOKUP($L732,Data_Validation!$A:$D,4,0)</f>
        <v>Rev. Protections</v>
      </c>
      <c r="W732" s="152" t="str">
        <f>+VLOOKUP($L732,Data_Validation!$A:$E,5,0)</f>
        <v>NB</v>
      </c>
    </row>
    <row r="733" spans="1:24" ht="15.75" customHeight="1">
      <c r="A733" s="662" t="s">
        <v>2855</v>
      </c>
      <c r="B733" s="662" t="s">
        <v>2856</v>
      </c>
      <c r="C733" s="663"/>
      <c r="D733" s="663"/>
      <c r="E733" s="663"/>
      <c r="F733" s="662" t="s">
        <v>4</v>
      </c>
      <c r="G733" s="662" t="s">
        <v>1012</v>
      </c>
      <c r="H733" s="153" t="s">
        <v>2997</v>
      </c>
      <c r="I733" s="153">
        <v>-6</v>
      </c>
      <c r="J733" s="153">
        <v>0</v>
      </c>
      <c r="K733" s="153">
        <v>-6</v>
      </c>
      <c r="L733" s="149" t="str">
        <f t="shared" si="55"/>
        <v>454T@</v>
      </c>
      <c r="M733" s="150" t="str">
        <f t="shared" si="56"/>
        <v># OF VTES -TRAITEMENT OTOPROTEC USAGE BMW NON</v>
      </c>
      <c r="N733" s="151">
        <f>+IF(OR($Q733=Parametres!$G$2,$Q733=Parametres!$G$3),I733,C733)</f>
        <v>-6</v>
      </c>
      <c r="O733" s="151">
        <f>+IF(OR($Q733=Parametres!$G$2,$Q733=Parametres!$G$3),J733,D733)</f>
        <v>0</v>
      </c>
      <c r="P733" s="151">
        <f>+IF(OR($Q733=Parametres!$G$2,$Q733=Parametres!$G$3),K733,E733)</f>
        <v>-6</v>
      </c>
      <c r="Q733" s="150" t="str">
        <f t="shared" si="57"/>
        <v>10-Compte compteur</v>
      </c>
      <c r="R733" s="149" t="str">
        <f t="shared" si="58"/>
        <v>450</v>
      </c>
      <c r="S733" s="150" t="str">
        <f t="shared" si="59"/>
        <v>_</v>
      </c>
      <c r="T733" s="152" t="str">
        <f>+VLOOKUP($L733,Data_Validation!$A:$D,1,0)</f>
        <v>454T@</v>
      </c>
      <c r="U733" s="152" t="str">
        <f>+VLOOKUP($L733,Data_Validation!$A:$D,3,0)</f>
        <v>Véhicules usagés</v>
      </c>
      <c r="V733" s="152" t="str">
        <f>+VLOOKUP($L733,Data_Validation!$A:$D,4,0)</f>
        <v>Rev. Autres</v>
      </c>
      <c r="W733" s="152" t="str">
        <f>+VLOOKUP($L733,Data_Validation!$A:$E,5,0)</f>
        <v>nb</v>
      </c>
    </row>
    <row r="734" spans="1:24" ht="15.75" customHeight="1">
      <c r="A734" s="662" t="s">
        <v>2404</v>
      </c>
      <c r="B734" s="662" t="s">
        <v>2405</v>
      </c>
      <c r="C734" s="663"/>
      <c r="D734" s="663"/>
      <c r="E734" s="663"/>
      <c r="F734" s="662" t="s">
        <v>4</v>
      </c>
      <c r="G734" s="662" t="s">
        <v>1012</v>
      </c>
      <c r="H734" s="153" t="s">
        <v>2997</v>
      </c>
      <c r="I734" s="153">
        <v>-1</v>
      </c>
      <c r="J734" s="153">
        <v>0</v>
      </c>
      <c r="K734" s="153">
        <v>-1</v>
      </c>
      <c r="L734" s="149" t="str">
        <f t="shared" si="55"/>
        <v>454V@</v>
      </c>
      <c r="M734" s="150" t="str">
        <f t="shared" si="56"/>
        <v># OF VTES -VTE - ASS VIE/INV USAGE BMW NON-CE</v>
      </c>
      <c r="N734" s="151">
        <f>+IF(OR($Q734=Parametres!$G$2,$Q734=Parametres!$G$3),I734,C734)</f>
        <v>-1</v>
      </c>
      <c r="O734" s="151">
        <f>+IF(OR($Q734=Parametres!$G$2,$Q734=Parametres!$G$3),J734,D734)</f>
        <v>0</v>
      </c>
      <c r="P734" s="151">
        <f>+IF(OR($Q734=Parametres!$G$2,$Q734=Parametres!$G$3),K734,E734)</f>
        <v>-1</v>
      </c>
      <c r="Q734" s="150" t="str">
        <f t="shared" si="57"/>
        <v>10-Compte compteur</v>
      </c>
      <c r="R734" s="149" t="str">
        <f t="shared" si="58"/>
        <v>450</v>
      </c>
      <c r="S734" s="150" t="str">
        <f t="shared" si="59"/>
        <v>_</v>
      </c>
      <c r="T734" s="152" t="str">
        <f>+VLOOKUP($L734,Data_Validation!$A:$D,1,0)</f>
        <v>454V@</v>
      </c>
      <c r="U734" s="152" t="str">
        <f>+VLOOKUP($L734,Data_Validation!$A:$D,3,0)</f>
        <v>Véhicules usagés</v>
      </c>
      <c r="V734" s="152" t="str">
        <f>+VLOOKUP($L734,Data_Validation!$A:$D,4,0)</f>
        <v>Rev. Protections</v>
      </c>
      <c r="W734" s="152" t="str">
        <f>+VLOOKUP($L734,Data_Validation!$A:$E,5,0)</f>
        <v>NB</v>
      </c>
    </row>
    <row r="735" spans="1:24" ht="15.75" customHeight="1">
      <c r="A735" s="662" t="s">
        <v>1560</v>
      </c>
      <c r="B735" s="662" t="s">
        <v>738</v>
      </c>
      <c r="C735" s="663"/>
      <c r="D735" s="663"/>
      <c r="E735" s="663"/>
      <c r="F735" s="662" t="s">
        <v>4</v>
      </c>
      <c r="G735" s="662" t="s">
        <v>366</v>
      </c>
      <c r="H735" s="153" t="s">
        <v>2997</v>
      </c>
      <c r="I735" s="153">
        <v>-3</v>
      </c>
      <c r="J735" s="153">
        <v>-1</v>
      </c>
      <c r="K735" s="153">
        <v>-4</v>
      </c>
      <c r="L735" s="149" t="str">
        <f t="shared" si="55"/>
        <v>455@</v>
      </c>
      <c r="M735" s="150" t="str">
        <f t="shared" si="56"/>
        <v># DE VTE - GAR PROLONGE USAGE AUTRE</v>
      </c>
      <c r="N735" s="151">
        <f>+IF(OR($Q735=Parametres!$G$2,$Q735=Parametres!$G$3),I735,C735)</f>
        <v>-3</v>
      </c>
      <c r="O735" s="151">
        <f>+IF(OR($Q735=Parametres!$G$2,$Q735=Parametres!$G$3),J735,D735)</f>
        <v>-1</v>
      </c>
      <c r="P735" s="151">
        <f>+IF(OR($Q735=Parametres!$G$2,$Q735=Parametres!$G$3),K735,E735)</f>
        <v>-4</v>
      </c>
      <c r="Q735" s="150" t="str">
        <f t="shared" si="57"/>
        <v>10-Compte compteur</v>
      </c>
      <c r="R735" s="149" t="str">
        <f t="shared" si="58"/>
        <v>455</v>
      </c>
      <c r="S735" s="150" t="str">
        <f t="shared" si="59"/>
        <v>_</v>
      </c>
      <c r="T735" s="152" t="str">
        <f>+VLOOKUP($L735,Data_Validation!$A:$D,1,0)</f>
        <v>455@</v>
      </c>
      <c r="U735" s="152" t="str">
        <f>+VLOOKUP($L735,Data_Validation!$A:$D,3,0)</f>
        <v>Véhicules usagés</v>
      </c>
      <c r="V735" s="152" t="str">
        <f>+VLOOKUP($L735,Data_Validation!$A:$D,4,0)</f>
        <v>Rev. Protections</v>
      </c>
      <c r="W735" s="152" t="str">
        <f>+VLOOKUP($L735,Data_Validation!$A:$E,5,0)</f>
        <v>nb</v>
      </c>
    </row>
    <row r="736" spans="1:24" ht="15.75" customHeight="1">
      <c r="A736" s="662" t="s">
        <v>1561</v>
      </c>
      <c r="B736" s="662" t="s">
        <v>739</v>
      </c>
      <c r="C736" s="663"/>
      <c r="D736" s="663"/>
      <c r="E736" s="663"/>
      <c r="F736" s="662" t="s">
        <v>4</v>
      </c>
      <c r="G736" s="662" t="s">
        <v>450</v>
      </c>
      <c r="H736" s="153" t="s">
        <v>2997</v>
      </c>
      <c r="I736" s="153">
        <v>-401</v>
      </c>
      <c r="J736" s="153">
        <v>-74</v>
      </c>
      <c r="K736" s="153">
        <v>-475</v>
      </c>
      <c r="L736" s="149" t="str">
        <f t="shared" si="55"/>
        <v>459A@</v>
      </c>
      <c r="M736" s="150" t="str">
        <f t="shared" si="56"/>
        <v># DE VTE - BMW SPA PROGRAMME</v>
      </c>
      <c r="N736" s="151">
        <f>+IF(OR($Q736=Parametres!$G$2,$Q736=Parametres!$G$3),I736,C736)</f>
        <v>-401</v>
      </c>
      <c r="O736" s="151">
        <f>+IF(OR($Q736=Parametres!$G$2,$Q736=Parametres!$G$3),J736,D736)</f>
        <v>-74</v>
      </c>
      <c r="P736" s="151">
        <f>+IF(OR($Q736=Parametres!$G$2,$Q736=Parametres!$G$3),K736,E736)</f>
        <v>-475</v>
      </c>
      <c r="Q736" s="150" t="str">
        <f t="shared" si="57"/>
        <v>10-Compte compteur</v>
      </c>
      <c r="R736" s="149" t="str">
        <f t="shared" si="58"/>
        <v>459A</v>
      </c>
      <c r="S736" s="150" t="str">
        <f t="shared" si="59"/>
        <v>_</v>
      </c>
      <c r="T736" s="152" t="str">
        <f>+VLOOKUP($L736,Data_Validation!$A:$D,1,0)</f>
        <v>459A@</v>
      </c>
      <c r="U736" s="152" t="str">
        <f>+VLOOKUP($L736,Data_Validation!$A:$D,3,0)</f>
        <v>service</v>
      </c>
      <c r="V736" s="152" t="str">
        <f>+VLOOKUP($L736,Data_Validation!$A:$D,4,0)</f>
        <v>M/O Esthétique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2193</v>
      </c>
      <c r="B737" s="662" t="s">
        <v>2194</v>
      </c>
      <c r="C737" s="663"/>
      <c r="D737" s="663"/>
      <c r="E737" s="663"/>
      <c r="F737" s="662" t="s">
        <v>4</v>
      </c>
      <c r="G737" s="662" t="s">
        <v>2416</v>
      </c>
      <c r="H737" s="153" t="s">
        <v>2997</v>
      </c>
      <c r="I737" s="153">
        <v>-41</v>
      </c>
      <c r="J737" s="153">
        <v>-3</v>
      </c>
      <c r="K737" s="153">
        <v>-44</v>
      </c>
      <c r="L737" s="149" t="str">
        <f t="shared" si="55"/>
        <v>459B@</v>
      </c>
      <c r="M737" s="150" t="str">
        <f t="shared" si="56"/>
        <v># OF VTES -VTE - SUBLET ESTHETIQUE</v>
      </c>
      <c r="N737" s="151">
        <f>+IF(OR($Q737=Parametres!$G$2,$Q737=Parametres!$G$3),I737,C737)</f>
        <v>-41</v>
      </c>
      <c r="O737" s="151">
        <f>+IF(OR($Q737=Parametres!$G$2,$Q737=Parametres!$G$3),J737,D737)</f>
        <v>-3</v>
      </c>
      <c r="P737" s="151">
        <f>+IF(OR($Q737=Parametres!$G$2,$Q737=Parametres!$G$3),K737,E737)</f>
        <v>-44</v>
      </c>
      <c r="Q737" s="150" t="str">
        <f t="shared" si="57"/>
        <v>10-Compte compteur</v>
      </c>
      <c r="R737" s="149" t="str">
        <f t="shared" si="58"/>
        <v>459</v>
      </c>
      <c r="S737" s="150" t="str">
        <f t="shared" si="59"/>
        <v>_</v>
      </c>
      <c r="T737" s="152" t="str">
        <f>+VLOOKUP($L737,Data_Validation!$A:$D,1,0)</f>
        <v>459B@</v>
      </c>
      <c r="U737" s="152" t="str">
        <f>+VLOOKUP($L737,Data_Validation!$A:$D,3,0)</f>
        <v>Service</v>
      </c>
      <c r="V737" s="152" t="str">
        <f>+VLOOKUP($L737,Data_Validation!$A:$D,4,0)</f>
        <v>M/O Esthétique</v>
      </c>
      <c r="W737" s="152" t="str">
        <f>+VLOOKUP($L737,Data_Validation!$A:$E,5,0)</f>
        <v>nb</v>
      </c>
    </row>
    <row r="738" spans="1:24" ht="15.75" customHeight="1">
      <c r="A738" s="662" t="s">
        <v>1562</v>
      </c>
      <c r="B738" s="662" t="s">
        <v>1563</v>
      </c>
      <c r="C738" s="663"/>
      <c r="D738" s="663"/>
      <c r="E738" s="663"/>
      <c r="F738" s="662" t="s">
        <v>4</v>
      </c>
      <c r="G738" s="662" t="s">
        <v>1116</v>
      </c>
      <c r="H738" s="153" t="s">
        <v>2997</v>
      </c>
      <c r="I738" s="153">
        <v>-758</v>
      </c>
      <c r="J738" s="153">
        <v>-136</v>
      </c>
      <c r="K738" s="153">
        <v>-894</v>
      </c>
      <c r="L738" s="149" t="str">
        <f t="shared" si="55"/>
        <v>460A@</v>
      </c>
      <c r="M738" s="150" t="str">
        <f t="shared" si="56"/>
        <v># DE VTE - M/O CLIENT BMW AUTO</v>
      </c>
      <c r="N738" s="151">
        <f>+IF(OR($Q738=Parametres!$G$2,$Q738=Parametres!$G$3),I738,C738)</f>
        <v>-758</v>
      </c>
      <c r="O738" s="151">
        <f>+IF(OR($Q738=Parametres!$G$2,$Q738=Parametres!$G$3),J738,D738)</f>
        <v>-136</v>
      </c>
      <c r="P738" s="151">
        <f>+IF(OR($Q738=Parametres!$G$2,$Q738=Parametres!$G$3),K738,E738)</f>
        <v>-894</v>
      </c>
      <c r="Q738" s="150" t="str">
        <f t="shared" si="57"/>
        <v>10-Compte compteur</v>
      </c>
      <c r="R738" s="149" t="str">
        <f t="shared" si="58"/>
        <v>460A</v>
      </c>
      <c r="S738" s="150" t="str">
        <f t="shared" si="59"/>
        <v>_</v>
      </c>
      <c r="T738" s="152" t="str">
        <f>+VLOOKUP($L738,Data_Validation!$A:$D,1,0)</f>
        <v>460A@</v>
      </c>
      <c r="U738" s="152" t="str">
        <f>+VLOOKUP($L738,Data_Validation!$A:$D,3,0)</f>
        <v>service</v>
      </c>
      <c r="V738" s="152" t="str">
        <f>+VLOOKUP($L738,Data_Validation!$A:$D,4,0)</f>
        <v>M/O Client</v>
      </c>
      <c r="W738" s="152" t="str">
        <f>+VLOOKUP($L738,Data_Validation!$A:$E,5,0)</f>
        <v>nb</v>
      </c>
    </row>
    <row r="739" spans="1:24" ht="15.75" customHeight="1">
      <c r="A739" s="662" t="s">
        <v>1564</v>
      </c>
      <c r="B739" s="662" t="s">
        <v>740</v>
      </c>
      <c r="C739" s="663"/>
      <c r="D739" s="663"/>
      <c r="E739" s="663"/>
      <c r="F739" s="662" t="s">
        <v>4</v>
      </c>
      <c r="G739" s="662" t="s">
        <v>1116</v>
      </c>
      <c r="H739" s="153" t="s">
        <v>2997</v>
      </c>
      <c r="I739" s="153">
        <v>-1007</v>
      </c>
      <c r="J739" s="153">
        <v>-218</v>
      </c>
      <c r="K739" s="153">
        <v>-1225</v>
      </c>
      <c r="L739" s="149" t="str">
        <f t="shared" si="55"/>
        <v>460B@</v>
      </c>
      <c r="M739" s="150" t="str">
        <f t="shared" si="56"/>
        <v># DE VTE - M/O CLIENT BMW CAMION</v>
      </c>
      <c r="N739" s="151">
        <f>+IF(OR($Q739=Parametres!$G$2,$Q739=Parametres!$G$3),I739,C739)</f>
        <v>-1007</v>
      </c>
      <c r="O739" s="151">
        <f>+IF(OR($Q739=Parametres!$G$2,$Q739=Parametres!$G$3),J739,D739)</f>
        <v>-218</v>
      </c>
      <c r="P739" s="151">
        <f>+IF(OR($Q739=Parametres!$G$2,$Q739=Parametres!$G$3),K739,E739)</f>
        <v>-1225</v>
      </c>
      <c r="Q739" s="150" t="str">
        <f t="shared" si="57"/>
        <v>10-Compte compteur</v>
      </c>
      <c r="R739" s="149" t="str">
        <f t="shared" si="58"/>
        <v>460A</v>
      </c>
      <c r="S739" s="150" t="str">
        <f t="shared" si="59"/>
        <v>_</v>
      </c>
      <c r="T739" s="152" t="str">
        <f>+VLOOKUP($L739,Data_Validation!$A:$D,1,0)</f>
        <v>460B@</v>
      </c>
      <c r="U739" s="152" t="str">
        <f>+VLOOKUP($L739,Data_Validation!$A:$D,3,0)</f>
        <v>service</v>
      </c>
      <c r="V739" s="152" t="str">
        <f>+VLOOKUP($L739,Data_Validation!$A:$D,4,0)</f>
        <v>M/O Client</v>
      </c>
      <c r="W739" s="152" t="str">
        <f>+VLOOKUP($L739,Data_Validation!$A:$E,5,0)</f>
        <v>nb</v>
      </c>
    </row>
    <row r="740" spans="1:24" ht="15.75" customHeight="1">
      <c r="A740" s="662" t="s">
        <v>1047</v>
      </c>
      <c r="B740" s="662" t="s">
        <v>741</v>
      </c>
      <c r="C740" s="663"/>
      <c r="D740" s="663"/>
      <c r="E740" s="663"/>
      <c r="F740" s="662" t="s">
        <v>4</v>
      </c>
      <c r="G740" s="662" t="s">
        <v>1116</v>
      </c>
      <c r="H740" s="153" t="s">
        <v>2997</v>
      </c>
      <c r="I740" s="153">
        <v>-143</v>
      </c>
      <c r="J740" s="153">
        <v>-49</v>
      </c>
      <c r="K740" s="153">
        <v>-192</v>
      </c>
      <c r="L740" s="149" t="str">
        <f t="shared" si="55"/>
        <v>460D@</v>
      </c>
      <c r="M740" s="150" t="str">
        <f t="shared" si="56"/>
        <v># DE VTE - M/O CLIENT BMW I</v>
      </c>
      <c r="N740" s="151">
        <f>+IF(OR($Q740=Parametres!$G$2,$Q740=Parametres!$G$3),I740,C740)</f>
        <v>-143</v>
      </c>
      <c r="O740" s="151">
        <f>+IF(OR($Q740=Parametres!$G$2,$Q740=Parametres!$G$3),J740,D740)</f>
        <v>-49</v>
      </c>
      <c r="P740" s="151">
        <f>+IF(OR($Q740=Parametres!$G$2,$Q740=Parametres!$G$3),K740,E740)</f>
        <v>-192</v>
      </c>
      <c r="Q740" s="150" t="str">
        <f t="shared" si="57"/>
        <v>10-Compte compteur</v>
      </c>
      <c r="R740" s="149" t="str">
        <f t="shared" si="58"/>
        <v>460A</v>
      </c>
      <c r="S740" s="150" t="str">
        <f t="shared" si="59"/>
        <v>_</v>
      </c>
      <c r="T740" s="152" t="str">
        <f>+VLOOKUP($L740,Data_Validation!$A:$D,1,0)</f>
        <v>460D@</v>
      </c>
      <c r="U740" s="152" t="str">
        <f>+VLOOKUP($L740,Data_Validation!$A:$D,3,0)</f>
        <v>service</v>
      </c>
      <c r="V740" s="152" t="str">
        <f>+VLOOKUP($L740,Data_Validation!$A:$D,4,0)</f>
        <v>M/O Client</v>
      </c>
      <c r="W740" s="152" t="str">
        <f>+VLOOKUP($L740,Data_Validation!$A:$E,5,0)</f>
        <v>nb</v>
      </c>
    </row>
    <row r="741" spans="1:24" ht="15.75" customHeight="1">
      <c r="A741" s="662" t="s">
        <v>1565</v>
      </c>
      <c r="B741" s="662" t="s">
        <v>1566</v>
      </c>
      <c r="C741" s="663"/>
      <c r="D741" s="663"/>
      <c r="E741" s="663"/>
      <c r="F741" s="662" t="s">
        <v>4</v>
      </c>
      <c r="G741" s="662" t="s">
        <v>1110</v>
      </c>
      <c r="H741" s="153" t="s">
        <v>2997</v>
      </c>
      <c r="I741" s="153">
        <v>-371</v>
      </c>
      <c r="J741" s="153">
        <v>-23</v>
      </c>
      <c r="K741" s="153">
        <v>-394</v>
      </c>
      <c r="L741" s="149" t="str">
        <f t="shared" si="55"/>
        <v>461A@</v>
      </c>
      <c r="M741" s="150" t="str">
        <f t="shared" si="56"/>
        <v># DE VTE - M/O GARANTIE BMW AUTO</v>
      </c>
      <c r="N741" s="151">
        <f>+IF(OR($Q741=Parametres!$G$2,$Q741=Parametres!$G$3),I741,C741)</f>
        <v>-371</v>
      </c>
      <c r="O741" s="151">
        <f>+IF(OR($Q741=Parametres!$G$2,$Q741=Parametres!$G$3),J741,D741)</f>
        <v>-23</v>
      </c>
      <c r="P741" s="151">
        <f>+IF(OR($Q741=Parametres!$G$2,$Q741=Parametres!$G$3),K741,E741)</f>
        <v>-394</v>
      </c>
      <c r="Q741" s="150" t="str">
        <f t="shared" si="57"/>
        <v>10-Compte compteur</v>
      </c>
      <c r="R741" s="149" t="str">
        <f t="shared" si="58"/>
        <v>461A</v>
      </c>
      <c r="S741" s="150" t="str">
        <f t="shared" si="59"/>
        <v>_</v>
      </c>
      <c r="T741" s="152" t="str">
        <f>+VLOOKUP($L741,Data_Validation!$A:$D,1,0)</f>
        <v>461A@</v>
      </c>
      <c r="U741" s="152" t="str">
        <f>+VLOOKUP($L741,Data_Validation!$A:$D,3,0)</f>
        <v>service</v>
      </c>
      <c r="V741" s="152" t="str">
        <f>+VLOOKUP($L741,Data_Validation!$A:$D,4,0)</f>
        <v>M/O Garantie</v>
      </c>
      <c r="W741" s="152" t="str">
        <f>+VLOOKUP($L741,Data_Validation!$A:$E,5,0)</f>
        <v>nb</v>
      </c>
    </row>
    <row r="742" spans="1:24" ht="15.75" customHeight="1">
      <c r="A742" s="662" t="s">
        <v>1567</v>
      </c>
      <c r="B742" s="662" t="s">
        <v>742</v>
      </c>
      <c r="C742" s="663"/>
      <c r="D742" s="663"/>
      <c r="E742" s="663"/>
      <c r="F742" s="662" t="s">
        <v>4</v>
      </c>
      <c r="G742" s="662" t="s">
        <v>1110</v>
      </c>
      <c r="H742" s="153" t="s">
        <v>2997</v>
      </c>
      <c r="I742" s="153">
        <v>-558</v>
      </c>
      <c r="J742" s="153">
        <v>-46</v>
      </c>
      <c r="K742" s="153">
        <v>-604</v>
      </c>
      <c r="L742" s="149" t="str">
        <f t="shared" si="55"/>
        <v>461B@</v>
      </c>
      <c r="M742" s="150" t="str">
        <f t="shared" si="56"/>
        <v># DE VTE - M/O GARANTIE BMW CAMION</v>
      </c>
      <c r="N742" s="151">
        <f>+IF(OR($Q742=Parametres!$G$2,$Q742=Parametres!$G$3),I742,C742)</f>
        <v>-558</v>
      </c>
      <c r="O742" s="151">
        <f>+IF(OR($Q742=Parametres!$G$2,$Q742=Parametres!$G$3),J742,D742)</f>
        <v>-46</v>
      </c>
      <c r="P742" s="151">
        <f>+IF(OR($Q742=Parametres!$G$2,$Q742=Parametres!$G$3),K742,E742)</f>
        <v>-604</v>
      </c>
      <c r="Q742" s="150" t="str">
        <f t="shared" si="57"/>
        <v>10-Compte compteur</v>
      </c>
      <c r="R742" s="149" t="str">
        <f t="shared" si="58"/>
        <v>461A</v>
      </c>
      <c r="S742" s="150" t="str">
        <f t="shared" si="59"/>
        <v>_</v>
      </c>
      <c r="T742" s="152" t="str">
        <f>+VLOOKUP($L742,Data_Validation!$A:$D,1,0)</f>
        <v>461B@</v>
      </c>
      <c r="U742" s="152" t="str">
        <f>+VLOOKUP($L742,Data_Validation!$A:$D,3,0)</f>
        <v>service</v>
      </c>
      <c r="V742" s="152" t="str">
        <f>+VLOOKUP($L742,Data_Validation!$A:$D,4,0)</f>
        <v>M/O Garantie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1568</v>
      </c>
      <c r="B743" s="662" t="s">
        <v>743</v>
      </c>
      <c r="C743" s="663"/>
      <c r="D743" s="663"/>
      <c r="E743" s="663"/>
      <c r="F743" s="662" t="s">
        <v>4</v>
      </c>
      <c r="G743" s="662" t="s">
        <v>441</v>
      </c>
      <c r="H743" s="153" t="s">
        <v>2997</v>
      </c>
      <c r="I743" s="153">
        <v>-275</v>
      </c>
      <c r="J743" s="153">
        <v>-19</v>
      </c>
      <c r="K743" s="153">
        <v>-294</v>
      </c>
      <c r="L743" s="149" t="str">
        <f t="shared" si="55"/>
        <v>461D@</v>
      </c>
      <c r="M743" s="150" t="str">
        <f t="shared" si="56"/>
        <v># DE VTE - M/O ENTRETIEN BMW AUTO</v>
      </c>
      <c r="N743" s="151">
        <f>+IF(OR($Q743=Parametres!$G$2,$Q743=Parametres!$G$3),I743,C743)</f>
        <v>-275</v>
      </c>
      <c r="O743" s="151">
        <f>+IF(OR($Q743=Parametres!$G$2,$Q743=Parametres!$G$3),J743,D743)</f>
        <v>-19</v>
      </c>
      <c r="P743" s="151">
        <f>+IF(OR($Q743=Parametres!$G$2,$Q743=Parametres!$G$3),K743,E743)</f>
        <v>-294</v>
      </c>
      <c r="Q743" s="150" t="str">
        <f t="shared" si="57"/>
        <v>10-Compte compteur</v>
      </c>
      <c r="R743" s="149" t="str">
        <f t="shared" si="58"/>
        <v>461D</v>
      </c>
      <c r="S743" s="150" t="str">
        <f t="shared" si="59"/>
        <v>_</v>
      </c>
      <c r="T743" s="152" t="str">
        <f>+VLOOKUP($L743,Data_Validation!$A:$D,1,0)</f>
        <v>461D@</v>
      </c>
      <c r="U743" s="152" t="str">
        <f>+VLOOKUP($L743,Data_Validation!$A:$D,3,0)</f>
        <v>service</v>
      </c>
      <c r="V743" s="152" t="str">
        <f>+VLOOKUP($L743,Data_Validation!$A:$D,4,0)</f>
        <v>M/O Garantie</v>
      </c>
      <c r="W743" s="152" t="str">
        <f>+VLOOKUP($L743,Data_Validation!$A:$E,5,0)</f>
        <v>nb</v>
      </c>
    </row>
    <row r="744" spans="1:24" ht="15.75" customHeight="1">
      <c r="A744" s="662" t="s">
        <v>1569</v>
      </c>
      <c r="B744" s="662" t="s">
        <v>744</v>
      </c>
      <c r="C744" s="663"/>
      <c r="D744" s="663"/>
      <c r="E744" s="663"/>
      <c r="F744" s="662" t="s">
        <v>4</v>
      </c>
      <c r="G744" s="662" t="s">
        <v>441</v>
      </c>
      <c r="H744" s="153" t="s">
        <v>2997</v>
      </c>
      <c r="I744" s="153">
        <v>-568</v>
      </c>
      <c r="J744" s="153">
        <v>-72</v>
      </c>
      <c r="K744" s="153">
        <v>-640</v>
      </c>
      <c r="L744" s="149" t="str">
        <f t="shared" si="55"/>
        <v>461E@</v>
      </c>
      <c r="M744" s="150" t="str">
        <f t="shared" si="56"/>
        <v># DE VTE - M/O ENTRETIEN BMW CAMION</v>
      </c>
      <c r="N744" s="151">
        <f>+IF(OR($Q744=Parametres!$G$2,$Q744=Parametres!$G$3),I744,C744)</f>
        <v>-568</v>
      </c>
      <c r="O744" s="151">
        <f>+IF(OR($Q744=Parametres!$G$2,$Q744=Parametres!$G$3),J744,D744)</f>
        <v>-72</v>
      </c>
      <c r="P744" s="151">
        <f>+IF(OR($Q744=Parametres!$G$2,$Q744=Parametres!$G$3),K744,E744)</f>
        <v>-640</v>
      </c>
      <c r="Q744" s="150" t="str">
        <f t="shared" si="57"/>
        <v>10-Compte compteur</v>
      </c>
      <c r="R744" s="149" t="str">
        <f t="shared" si="58"/>
        <v>461D</v>
      </c>
      <c r="S744" s="150" t="str">
        <f t="shared" si="59"/>
        <v>_</v>
      </c>
      <c r="T744" s="152" t="str">
        <f>+VLOOKUP($L744,Data_Validation!$A:$D,1,0)</f>
        <v>461E@</v>
      </c>
      <c r="U744" s="152" t="str">
        <f>+VLOOKUP($L744,Data_Validation!$A:$D,3,0)</f>
        <v>service</v>
      </c>
      <c r="V744" s="152" t="str">
        <f>+VLOOKUP($L744,Data_Validation!$A:$D,4,0)</f>
        <v>M/O Garantie</v>
      </c>
      <c r="W744" s="152" t="str">
        <f>+VLOOKUP($L744,Data_Validation!$A:$E,5,0)</f>
        <v>nb</v>
      </c>
    </row>
    <row r="745" spans="1:24" ht="15.75" customHeight="1">
      <c r="A745" s="662" t="s">
        <v>1570</v>
      </c>
      <c r="B745" s="662" t="s">
        <v>745</v>
      </c>
      <c r="C745" s="663"/>
      <c r="D745" s="663"/>
      <c r="E745" s="663"/>
      <c r="F745" s="662" t="s">
        <v>4</v>
      </c>
      <c r="G745" s="662" t="s">
        <v>441</v>
      </c>
      <c r="H745" s="153" t="s">
        <v>2997</v>
      </c>
      <c r="I745" s="153">
        <v>-35</v>
      </c>
      <c r="J745" s="153">
        <v>-10</v>
      </c>
      <c r="K745" s="153">
        <v>-45</v>
      </c>
      <c r="L745" s="149" t="str">
        <f t="shared" si="55"/>
        <v>461G@</v>
      </c>
      <c r="M745" s="150" t="str">
        <f t="shared" si="56"/>
        <v># DE VTE - M/O ENTRENTIEN BMW I</v>
      </c>
      <c r="N745" s="151">
        <f>+IF(OR($Q745=Parametres!$G$2,$Q745=Parametres!$G$3),I745,C745)</f>
        <v>-35</v>
      </c>
      <c r="O745" s="151">
        <f>+IF(OR($Q745=Parametres!$G$2,$Q745=Parametres!$G$3),J745,D745)</f>
        <v>-10</v>
      </c>
      <c r="P745" s="151">
        <f>+IF(OR($Q745=Parametres!$G$2,$Q745=Parametres!$G$3),K745,E745)</f>
        <v>-45</v>
      </c>
      <c r="Q745" s="150" t="str">
        <f t="shared" si="57"/>
        <v>10-Compte compteur</v>
      </c>
      <c r="R745" s="149" t="str">
        <f t="shared" si="58"/>
        <v>461D</v>
      </c>
      <c r="S745" s="150" t="str">
        <f t="shared" si="59"/>
        <v>_</v>
      </c>
      <c r="T745" s="152" t="str">
        <f>+VLOOKUP($L745,Data_Validation!$A:$D,1,0)</f>
        <v>461G@</v>
      </c>
      <c r="U745" s="152" t="str">
        <f>+VLOOKUP($L745,Data_Validation!$A:$D,3,0)</f>
        <v>service</v>
      </c>
      <c r="V745" s="152" t="str">
        <f>+VLOOKUP($L745,Data_Validation!$A:$D,4,0)</f>
        <v>M/O Garantie</v>
      </c>
      <c r="W745" s="152" t="str">
        <f>+VLOOKUP($L745,Data_Validation!$A:$E,5,0)</f>
        <v>nb</v>
      </c>
    </row>
    <row r="746" spans="1:24" ht="15.75" customHeight="1">
      <c r="A746" s="662" t="s">
        <v>1571</v>
      </c>
      <c r="B746" s="662" t="s">
        <v>746</v>
      </c>
      <c r="C746" s="663"/>
      <c r="D746" s="663"/>
      <c r="E746" s="663"/>
      <c r="F746" s="662" t="s">
        <v>4</v>
      </c>
      <c r="G746" s="662" t="s">
        <v>1110</v>
      </c>
      <c r="H746" s="153" t="s">
        <v>2997</v>
      </c>
      <c r="I746" s="153">
        <v>-107</v>
      </c>
      <c r="J746" s="153">
        <v>-28</v>
      </c>
      <c r="K746" s="153">
        <v>-135</v>
      </c>
      <c r="L746" s="149" t="str">
        <f t="shared" si="55"/>
        <v>461H@</v>
      </c>
      <c r="M746" s="150" t="str">
        <f t="shared" si="56"/>
        <v># DE VTE - M/O GARANTIE BMW</v>
      </c>
      <c r="N746" s="151">
        <f>+IF(OR($Q746=Parametres!$G$2,$Q746=Parametres!$G$3),I746,C746)</f>
        <v>-107</v>
      </c>
      <c r="O746" s="151">
        <f>+IF(OR($Q746=Parametres!$G$2,$Q746=Parametres!$G$3),J746,D746)</f>
        <v>-28</v>
      </c>
      <c r="P746" s="151">
        <f>+IF(OR($Q746=Parametres!$G$2,$Q746=Parametres!$G$3),K746,E746)</f>
        <v>-135</v>
      </c>
      <c r="Q746" s="150" t="str">
        <f t="shared" si="57"/>
        <v>10-Compte compteur</v>
      </c>
      <c r="R746" s="149" t="str">
        <f t="shared" si="58"/>
        <v>461A</v>
      </c>
      <c r="S746" s="150" t="str">
        <f t="shared" si="59"/>
        <v>_</v>
      </c>
      <c r="T746" s="152" t="str">
        <f>+VLOOKUP($L746,Data_Validation!$A:$D,1,0)</f>
        <v>461H@</v>
      </c>
      <c r="U746" s="152" t="str">
        <f>+VLOOKUP($L746,Data_Validation!$A:$D,3,0)</f>
        <v>service</v>
      </c>
      <c r="V746" s="152" t="str">
        <f>+VLOOKUP($L746,Data_Validation!$A:$D,4,0)</f>
        <v>M/O Garantie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1572</v>
      </c>
      <c r="B747" s="662" t="s">
        <v>1573</v>
      </c>
      <c r="C747" s="663"/>
      <c r="D747" s="663"/>
      <c r="E747" s="663"/>
      <c r="F747" s="662" t="s">
        <v>4</v>
      </c>
      <c r="G747" s="662" t="s">
        <v>1139</v>
      </c>
      <c r="H747" s="153" t="s">
        <v>2997</v>
      </c>
      <c r="I747" s="153">
        <v>-532</v>
      </c>
      <c r="J747" s="153">
        <v>-46</v>
      </c>
      <c r="K747" s="153">
        <v>-578</v>
      </c>
      <c r="L747" s="149" t="str">
        <f t="shared" si="55"/>
        <v>462A@</v>
      </c>
      <c r="M747" s="150" t="str">
        <f t="shared" si="56"/>
        <v># DE VTE - M/O INTERNE BMW AUTO</v>
      </c>
      <c r="N747" s="151">
        <f>+IF(OR($Q747=Parametres!$G$2,$Q747=Parametres!$G$3),I747,C747)</f>
        <v>-532</v>
      </c>
      <c r="O747" s="151">
        <f>+IF(OR($Q747=Parametres!$G$2,$Q747=Parametres!$G$3),J747,D747)</f>
        <v>-46</v>
      </c>
      <c r="P747" s="151">
        <f>+IF(OR($Q747=Parametres!$G$2,$Q747=Parametres!$G$3),K747,E747)</f>
        <v>-578</v>
      </c>
      <c r="Q747" s="150" t="str">
        <f t="shared" si="57"/>
        <v>10-Compte compteur</v>
      </c>
      <c r="R747" s="149" t="str">
        <f t="shared" si="58"/>
        <v>462A</v>
      </c>
      <c r="S747" s="150" t="str">
        <f t="shared" si="59"/>
        <v>_</v>
      </c>
      <c r="T747" s="152" t="str">
        <f>+VLOOKUP($L747,Data_Validation!$A:$D,1,0)</f>
        <v>462A@</v>
      </c>
      <c r="U747" s="152" t="str">
        <f>+VLOOKUP($L747,Data_Validation!$A:$D,3,0)</f>
        <v>service</v>
      </c>
      <c r="V747" s="152" t="str">
        <f>+VLOOKUP($L747,Data_Validation!$A:$D,4,0)</f>
        <v>M/O Interne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1574</v>
      </c>
      <c r="B748" s="662" t="s">
        <v>747</v>
      </c>
      <c r="C748" s="663"/>
      <c r="D748" s="663"/>
      <c r="E748" s="663"/>
      <c r="F748" s="662" t="s">
        <v>4</v>
      </c>
      <c r="G748" s="662" t="s">
        <v>1139</v>
      </c>
      <c r="H748" s="153" t="s">
        <v>2997</v>
      </c>
      <c r="I748" s="153">
        <v>-601</v>
      </c>
      <c r="J748" s="153">
        <v>-76</v>
      </c>
      <c r="K748" s="153">
        <v>-677</v>
      </c>
      <c r="L748" s="149" t="str">
        <f t="shared" si="55"/>
        <v>462B@</v>
      </c>
      <c r="M748" s="150" t="str">
        <f t="shared" si="56"/>
        <v># DE VTE - M/O INTERNE BMW CAMION</v>
      </c>
      <c r="N748" s="151">
        <f>+IF(OR($Q748=Parametres!$G$2,$Q748=Parametres!$G$3),I748,C748)</f>
        <v>-601</v>
      </c>
      <c r="O748" s="151">
        <f>+IF(OR($Q748=Parametres!$G$2,$Q748=Parametres!$G$3),J748,D748)</f>
        <v>-76</v>
      </c>
      <c r="P748" s="151">
        <f>+IF(OR($Q748=Parametres!$G$2,$Q748=Parametres!$G$3),K748,E748)</f>
        <v>-677</v>
      </c>
      <c r="Q748" s="150" t="str">
        <f t="shared" si="57"/>
        <v>10-Compte compteur</v>
      </c>
      <c r="R748" s="149" t="str">
        <f t="shared" si="58"/>
        <v>462A</v>
      </c>
      <c r="S748" s="150" t="str">
        <f t="shared" si="59"/>
        <v>_</v>
      </c>
      <c r="T748" s="152" t="str">
        <f>+VLOOKUP($L748,Data_Validation!$A:$D,1,0)</f>
        <v>462B@</v>
      </c>
      <c r="U748" s="152" t="str">
        <f>+VLOOKUP($L748,Data_Validation!$A:$D,3,0)</f>
        <v>service</v>
      </c>
      <c r="V748" s="152" t="str">
        <f>+VLOOKUP($L748,Data_Validation!$A:$D,4,0)</f>
        <v>M/O Interne</v>
      </c>
      <c r="W748" s="152" t="str">
        <f>+VLOOKUP($L748,Data_Validation!$A:$E,5,0)</f>
        <v>nb</v>
      </c>
    </row>
    <row r="749" spans="1:24" ht="15.75" customHeight="1">
      <c r="A749" s="662" t="s">
        <v>1048</v>
      </c>
      <c r="B749" s="662" t="s">
        <v>748</v>
      </c>
      <c r="C749" s="663"/>
      <c r="D749" s="663"/>
      <c r="E749" s="663"/>
      <c r="F749" s="662" t="s">
        <v>4</v>
      </c>
      <c r="G749" s="662" t="s">
        <v>1139</v>
      </c>
      <c r="H749" s="153" t="s">
        <v>2997</v>
      </c>
      <c r="I749" s="153">
        <v>-134</v>
      </c>
      <c r="J749" s="153">
        <v>-20</v>
      </c>
      <c r="K749" s="153">
        <v>-154</v>
      </c>
      <c r="L749" s="149" t="str">
        <f t="shared" si="55"/>
        <v>462D@</v>
      </c>
      <c r="M749" s="150" t="str">
        <f t="shared" si="56"/>
        <v># DE VTE - M/O INTERNE BMW I</v>
      </c>
      <c r="N749" s="151">
        <f>+IF(OR($Q749=Parametres!$G$2,$Q749=Parametres!$G$3),I749,C749)</f>
        <v>-134</v>
      </c>
      <c r="O749" s="151">
        <f>+IF(OR($Q749=Parametres!$G$2,$Q749=Parametres!$G$3),J749,D749)</f>
        <v>-20</v>
      </c>
      <c r="P749" s="151">
        <f>+IF(OR($Q749=Parametres!$G$2,$Q749=Parametres!$G$3),K749,E749)</f>
        <v>-154</v>
      </c>
      <c r="Q749" s="150" t="str">
        <f t="shared" si="57"/>
        <v>10-Compte compteur</v>
      </c>
      <c r="R749" s="149" t="str">
        <f t="shared" si="58"/>
        <v>462A</v>
      </c>
      <c r="S749" s="150" t="str">
        <f t="shared" si="59"/>
        <v>_</v>
      </c>
      <c r="T749" s="152" t="str">
        <f>+VLOOKUP($L749,Data_Validation!$A:$D,1,0)</f>
        <v>462D@</v>
      </c>
      <c r="U749" s="152" t="str">
        <f>+VLOOKUP($L749,Data_Validation!$A:$D,3,0)</f>
        <v>service</v>
      </c>
      <c r="V749" s="152" t="str">
        <f>+VLOOKUP($L749,Data_Validation!$A:$D,4,0)</f>
        <v>M/O Interne</v>
      </c>
      <c r="W749" s="152" t="str">
        <f>+VLOOKUP($L749,Data_Validation!$A:$E,5,0)</f>
        <v>nb</v>
      </c>
    </row>
    <row r="750" spans="1:24" ht="15.75" customHeight="1">
      <c r="A750" s="662" t="s">
        <v>2183</v>
      </c>
      <c r="B750" s="662" t="s">
        <v>2184</v>
      </c>
      <c r="C750" s="663"/>
      <c r="D750" s="663"/>
      <c r="E750" s="663"/>
      <c r="F750" s="662" t="s">
        <v>4</v>
      </c>
      <c r="G750" s="662" t="s">
        <v>1139</v>
      </c>
      <c r="H750" s="153" t="s">
        <v>2997</v>
      </c>
      <c r="I750" s="153">
        <v>-33</v>
      </c>
      <c r="J750" s="153">
        <v>-4</v>
      </c>
      <c r="K750" s="153">
        <v>-37</v>
      </c>
      <c r="L750" s="149" t="str">
        <f t="shared" si="55"/>
        <v>462L@</v>
      </c>
      <c r="M750" s="150" t="str">
        <f t="shared" si="56"/>
        <v># OF VTES -SUBLET INTERNE AUTO</v>
      </c>
      <c r="N750" s="151">
        <f>+IF(OR($Q750=Parametres!$G$2,$Q750=Parametres!$G$3),I750,C750)</f>
        <v>-33</v>
      </c>
      <c r="O750" s="151">
        <f>+IF(OR($Q750=Parametres!$G$2,$Q750=Parametres!$G$3),J750,D750)</f>
        <v>-4</v>
      </c>
      <c r="P750" s="151">
        <f>+IF(OR($Q750=Parametres!$G$2,$Q750=Parametres!$G$3),K750,E750)</f>
        <v>-37</v>
      </c>
      <c r="Q750" s="150" t="str">
        <f t="shared" si="57"/>
        <v>10-Compte compteur</v>
      </c>
      <c r="R750" s="149" t="str">
        <f t="shared" si="58"/>
        <v>462A</v>
      </c>
      <c r="S750" s="150" t="str">
        <f t="shared" si="59"/>
        <v>_</v>
      </c>
      <c r="T750" s="152" t="str">
        <f>+VLOOKUP($L750,Data_Validation!$A:$D,1,0)</f>
        <v>462L@</v>
      </c>
      <c r="U750" s="152" t="str">
        <f>+VLOOKUP($L750,Data_Validation!$A:$D,3,0)</f>
        <v>Service</v>
      </c>
      <c r="V750" s="152" t="str">
        <f>+VLOOKUP($L750,Data_Validation!$A:$D,4,0)</f>
        <v>M/O Interne</v>
      </c>
      <c r="W750" s="152" t="str">
        <f>+VLOOKUP($L750,Data_Validation!$A:$E,5,0)</f>
        <v>NB</v>
      </c>
    </row>
    <row r="751" spans="1:24" ht="15.75" customHeight="1">
      <c r="A751" s="662" t="s">
        <v>2185</v>
      </c>
      <c r="B751" s="662" t="s">
        <v>2186</v>
      </c>
      <c r="C751" s="663"/>
      <c r="D751" s="663"/>
      <c r="E751" s="663"/>
      <c r="F751" s="662" t="s">
        <v>4</v>
      </c>
      <c r="G751" s="662" t="s">
        <v>1139</v>
      </c>
      <c r="H751" s="153" t="s">
        <v>2997</v>
      </c>
      <c r="I751" s="153">
        <v>-36</v>
      </c>
      <c r="J751" s="153">
        <v>-5</v>
      </c>
      <c r="K751" s="153">
        <v>-41</v>
      </c>
      <c r="L751" s="149" t="str">
        <f t="shared" si="55"/>
        <v>462M@</v>
      </c>
      <c r="M751" s="150" t="str">
        <f t="shared" si="56"/>
        <v># OF VTES -SUBLET INTERNE CAMION</v>
      </c>
      <c r="N751" s="151">
        <f>+IF(OR($Q751=Parametres!$G$2,$Q751=Parametres!$G$3),I751,C751)</f>
        <v>-36</v>
      </c>
      <c r="O751" s="151">
        <f>+IF(OR($Q751=Parametres!$G$2,$Q751=Parametres!$G$3),J751,D751)</f>
        <v>-5</v>
      </c>
      <c r="P751" s="151">
        <f>+IF(OR($Q751=Parametres!$G$2,$Q751=Parametres!$G$3),K751,E751)</f>
        <v>-41</v>
      </c>
      <c r="Q751" s="150" t="str">
        <f t="shared" si="57"/>
        <v>10-Compte compteur</v>
      </c>
      <c r="R751" s="149" t="str">
        <f t="shared" si="58"/>
        <v>462A</v>
      </c>
      <c r="S751" s="150" t="str">
        <f t="shared" si="59"/>
        <v>_</v>
      </c>
      <c r="T751" s="152" t="str">
        <f>+VLOOKUP($L751,Data_Validation!$A:$D,1,0)</f>
        <v>462M@</v>
      </c>
      <c r="U751" s="152" t="str">
        <f>+VLOOKUP($L751,Data_Validation!$A:$D,3,0)</f>
        <v>Service</v>
      </c>
      <c r="V751" s="152" t="str">
        <f>+VLOOKUP($L751,Data_Validation!$A:$D,4,0)</f>
        <v>M/O Interne</v>
      </c>
      <c r="W751" s="152" t="str">
        <f>+VLOOKUP($L751,Data_Validation!$A:$E,5,0)</f>
        <v>NB</v>
      </c>
    </row>
    <row r="752" spans="1:24" ht="15.75" customHeight="1">
      <c r="A752" s="662" t="s">
        <v>2244</v>
      </c>
      <c r="B752" s="662" t="s">
        <v>2243</v>
      </c>
      <c r="C752" s="663"/>
      <c r="D752" s="663"/>
      <c r="E752" s="663"/>
      <c r="F752" s="662" t="s">
        <v>4</v>
      </c>
      <c r="G752" s="662" t="s">
        <v>1139</v>
      </c>
      <c r="H752" s="153" t="s">
        <v>2997</v>
      </c>
      <c r="I752" s="153">
        <v>-6</v>
      </c>
      <c r="J752" s="153">
        <v>-1</v>
      </c>
      <c r="K752" s="153">
        <v>-7</v>
      </c>
      <c r="L752" s="149" t="str">
        <f t="shared" si="55"/>
        <v>462N@</v>
      </c>
      <c r="M752" s="150" t="str">
        <f t="shared" si="56"/>
        <v># OF VTES -SUBLET INTERNE ESTHETIQUE</v>
      </c>
      <c r="N752" s="151">
        <f>+IF(OR($Q752=Parametres!$G$2,$Q752=Parametres!$G$3),I752,C752)</f>
        <v>-6</v>
      </c>
      <c r="O752" s="151">
        <f>+IF(OR($Q752=Parametres!$G$2,$Q752=Parametres!$G$3),J752,D752)</f>
        <v>-1</v>
      </c>
      <c r="P752" s="151">
        <f>+IF(OR($Q752=Parametres!$G$2,$Q752=Parametres!$G$3),K752,E752)</f>
        <v>-7</v>
      </c>
      <c r="Q752" s="150" t="str">
        <f t="shared" si="57"/>
        <v>10-Compte compteur</v>
      </c>
      <c r="R752" s="149" t="str">
        <f t="shared" si="58"/>
        <v>462A</v>
      </c>
      <c r="S752" s="150" t="str">
        <f t="shared" si="59"/>
        <v>_</v>
      </c>
      <c r="T752" s="152" t="str">
        <f>+VLOOKUP($L752,Data_Validation!$A:$D,1,0)</f>
        <v>462N@</v>
      </c>
      <c r="U752" s="152" t="str">
        <f>+VLOOKUP($L752,Data_Validation!$A:$D,3,0)</f>
        <v>Service</v>
      </c>
      <c r="V752" s="152" t="str">
        <f>+VLOOKUP($L752,Data_Validation!$A:$D,4,0)</f>
        <v>M/O Interne</v>
      </c>
      <c r="W752" s="152" t="str">
        <f>+VLOOKUP($L752,Data_Validation!$A:$E,5,0)</f>
        <v>nb</v>
      </c>
    </row>
    <row r="753" spans="1:23" ht="15.75" customHeight="1">
      <c r="A753" s="662" t="s">
        <v>1575</v>
      </c>
      <c r="B753" s="662" t="s">
        <v>1576</v>
      </c>
      <c r="C753" s="663"/>
      <c r="D753" s="663"/>
      <c r="E753" s="663"/>
      <c r="F753" s="662" t="s">
        <v>4</v>
      </c>
      <c r="G753" s="662" t="s">
        <v>1143</v>
      </c>
      <c r="H753" s="153" t="s">
        <v>2997</v>
      </c>
      <c r="I753" s="153">
        <v>-74</v>
      </c>
      <c r="J753" s="153">
        <v>0</v>
      </c>
      <c r="K753" s="153">
        <v>-74</v>
      </c>
      <c r="L753" s="149" t="str">
        <f t="shared" si="55"/>
        <v>463A@</v>
      </c>
      <c r="M753" s="150" t="str">
        <f t="shared" si="56"/>
        <v># DE VTE - SOUS-TRAITANCE BMW AUTO</v>
      </c>
      <c r="N753" s="151">
        <f>+IF(OR($Q753=Parametres!$G$2,$Q753=Parametres!$G$3),I753,C753)</f>
        <v>-74</v>
      </c>
      <c r="O753" s="151">
        <f>+IF(OR($Q753=Parametres!$G$2,$Q753=Parametres!$G$3),J753,D753)</f>
        <v>0</v>
      </c>
      <c r="P753" s="151">
        <f>+IF(OR($Q753=Parametres!$G$2,$Q753=Parametres!$G$3),K753,E753)</f>
        <v>-74</v>
      </c>
      <c r="Q753" s="150" t="str">
        <f t="shared" si="57"/>
        <v>10-Compte compteur</v>
      </c>
      <c r="R753" s="149" t="str">
        <f t="shared" si="58"/>
        <v>463A</v>
      </c>
      <c r="S753" s="150" t="str">
        <f t="shared" si="59"/>
        <v>_</v>
      </c>
      <c r="T753" s="152" t="str">
        <f>+VLOOKUP($L753,Data_Validation!$A:$D,1,0)</f>
        <v>463A@</v>
      </c>
      <c r="U753" s="152" t="str">
        <f>+VLOOKUP($L753,Data_Validation!$A:$D,3,0)</f>
        <v>service</v>
      </c>
      <c r="V753" s="152" t="str">
        <f>+VLOOKUP($L753,Data_Validation!$A:$D,4,0)</f>
        <v>Sous-traitement</v>
      </c>
      <c r="W753" s="152" t="str">
        <f>+VLOOKUP($L753,Data_Validation!$A:$E,5,0)</f>
        <v>nb</v>
      </c>
    </row>
    <row r="754" spans="1:23" ht="15.75" customHeight="1">
      <c r="A754" s="662" t="s">
        <v>1577</v>
      </c>
      <c r="B754" s="662" t="s">
        <v>749</v>
      </c>
      <c r="C754" s="663"/>
      <c r="D754" s="663"/>
      <c r="E754" s="663"/>
      <c r="F754" s="662" t="s">
        <v>4</v>
      </c>
      <c r="G754" s="662" t="s">
        <v>1143</v>
      </c>
      <c r="H754" s="153" t="s">
        <v>2997</v>
      </c>
      <c r="I754" s="153">
        <v>-56</v>
      </c>
      <c r="J754" s="153">
        <v>-6</v>
      </c>
      <c r="K754" s="153">
        <v>-62</v>
      </c>
      <c r="L754" s="149" t="str">
        <f t="shared" si="55"/>
        <v>463B@</v>
      </c>
      <c r="M754" s="150" t="str">
        <f t="shared" si="56"/>
        <v># DE VTE - SOUS-TRAITANCE BMW CAMION</v>
      </c>
      <c r="N754" s="151">
        <f>+IF(OR($Q754=Parametres!$G$2,$Q754=Parametres!$G$3),I754,C754)</f>
        <v>-56</v>
      </c>
      <c r="O754" s="151">
        <f>+IF(OR($Q754=Parametres!$G$2,$Q754=Parametres!$G$3),J754,D754)</f>
        <v>-6</v>
      </c>
      <c r="P754" s="151">
        <f>+IF(OR($Q754=Parametres!$G$2,$Q754=Parametres!$G$3),K754,E754)</f>
        <v>-62</v>
      </c>
      <c r="Q754" s="150" t="str">
        <f t="shared" si="57"/>
        <v>10-Compte compteur</v>
      </c>
      <c r="R754" s="149" t="str">
        <f t="shared" si="58"/>
        <v>463A</v>
      </c>
      <c r="S754" s="150" t="str">
        <f t="shared" si="59"/>
        <v>_</v>
      </c>
      <c r="T754" s="152" t="str">
        <f>+VLOOKUP($L754,Data_Validation!$A:$D,1,0)</f>
        <v>463B@</v>
      </c>
      <c r="U754" s="152" t="str">
        <f>+VLOOKUP($L754,Data_Validation!$A:$D,3,0)</f>
        <v>service</v>
      </c>
      <c r="V754" s="152" t="str">
        <f>+VLOOKUP($L754,Data_Validation!$A:$D,4,0)</f>
        <v>Sous-traitement</v>
      </c>
      <c r="W754" s="152" t="str">
        <f>+VLOOKUP($L754,Data_Validation!$A:$E,5,0)</f>
        <v>nb</v>
      </c>
    </row>
    <row r="755" spans="1:23" ht="15.75" customHeight="1">
      <c r="A755" s="662" t="s">
        <v>1049</v>
      </c>
      <c r="B755" s="662" t="s">
        <v>1050</v>
      </c>
      <c r="C755" s="663"/>
      <c r="D755" s="663"/>
      <c r="E755" s="663"/>
      <c r="F755" s="662" t="s">
        <v>4</v>
      </c>
      <c r="G755" s="662" t="s">
        <v>1143</v>
      </c>
      <c r="H755" s="153" t="s">
        <v>2997</v>
      </c>
      <c r="I755" s="153">
        <v>-19</v>
      </c>
      <c r="J755" s="153">
        <v>-1</v>
      </c>
      <c r="K755" s="153">
        <v>-20</v>
      </c>
      <c r="L755" s="149" t="str">
        <f t="shared" si="55"/>
        <v>463D@</v>
      </c>
      <c r="M755" s="150" t="str">
        <f t="shared" si="56"/>
        <v># DE VTE - SOUS-TRAITANCE BMW I</v>
      </c>
      <c r="N755" s="151">
        <f>+IF(OR($Q755=Parametres!$G$2,$Q755=Parametres!$G$3),I755,C755)</f>
        <v>-19</v>
      </c>
      <c r="O755" s="151">
        <f>+IF(OR($Q755=Parametres!$G$2,$Q755=Parametres!$G$3),J755,D755)</f>
        <v>-1</v>
      </c>
      <c r="P755" s="151">
        <f>+IF(OR($Q755=Parametres!$G$2,$Q755=Parametres!$G$3),K755,E755)</f>
        <v>-20</v>
      </c>
      <c r="Q755" s="150" t="str">
        <f t="shared" si="57"/>
        <v>10-Compte compteur</v>
      </c>
      <c r="R755" s="149" t="str">
        <f t="shared" si="58"/>
        <v>463A</v>
      </c>
      <c r="S755" s="150" t="str">
        <f t="shared" si="59"/>
        <v>_</v>
      </c>
      <c r="T755" s="152" t="str">
        <f>+VLOOKUP($L755,Data_Validation!$A:$D,1,0)</f>
        <v>463D@</v>
      </c>
      <c r="U755" s="152" t="str">
        <f>+VLOOKUP($L755,Data_Validation!$A:$D,3,0)</f>
        <v>service</v>
      </c>
      <c r="V755" s="152" t="str">
        <f>+VLOOKUP($L755,Data_Validation!$A:$D,4,0)</f>
        <v>Sous-traitement</v>
      </c>
      <c r="W755" s="152" t="str">
        <f>+VLOOKUP($L755,Data_Validation!$A:$E,5,0)</f>
        <v>nb</v>
      </c>
    </row>
    <row r="756" spans="1:23" ht="15.75" customHeight="1">
      <c r="A756" s="662" t="s">
        <v>1580</v>
      </c>
      <c r="B756" s="662" t="s">
        <v>1581</v>
      </c>
      <c r="C756" s="663"/>
      <c r="D756" s="663"/>
      <c r="E756" s="663"/>
      <c r="F756" s="662" t="s">
        <v>4</v>
      </c>
      <c r="G756" s="662" t="s">
        <v>1120</v>
      </c>
      <c r="H756" s="153" t="s">
        <v>2997</v>
      </c>
      <c r="I756" s="153">
        <v>-463</v>
      </c>
      <c r="J756" s="153">
        <v>-59</v>
      </c>
      <c r="K756" s="153">
        <v>-522</v>
      </c>
      <c r="L756" s="149" t="str">
        <f t="shared" si="55"/>
        <v>470A@</v>
      </c>
      <c r="M756" s="150" t="str">
        <f t="shared" si="56"/>
        <v># DE VTE - PCS BT CLIENT BMW AUTO</v>
      </c>
      <c r="N756" s="151">
        <f>+IF(OR($Q756=Parametres!$G$2,$Q756=Parametres!$G$3),I756,C756)</f>
        <v>-463</v>
      </c>
      <c r="O756" s="151">
        <f>+IF(OR($Q756=Parametres!$G$2,$Q756=Parametres!$G$3),J756,D756)</f>
        <v>-59</v>
      </c>
      <c r="P756" s="151">
        <f>+IF(OR($Q756=Parametres!$G$2,$Q756=Parametres!$G$3),K756,E756)</f>
        <v>-522</v>
      </c>
      <c r="Q756" s="150" t="str">
        <f t="shared" si="57"/>
        <v>10-Compte compteur</v>
      </c>
      <c r="R756" s="149" t="str">
        <f t="shared" si="58"/>
        <v>470A</v>
      </c>
      <c r="S756" s="150" t="str">
        <f t="shared" si="59"/>
        <v>_</v>
      </c>
      <c r="T756" s="152" t="str">
        <f>+VLOOKUP($L756,Data_Validation!$A:$D,1,0)</f>
        <v>470A@</v>
      </c>
      <c r="U756" s="152" t="str">
        <f>+VLOOKUP($L756,Data_Validation!$A:$D,3,0)</f>
        <v>Pièces</v>
      </c>
      <c r="V756" s="152" t="str">
        <f>+VLOOKUP($L756,Data_Validation!$A:$D,4,0)</f>
        <v>Pièces Ro Clients</v>
      </c>
      <c r="W756" s="152" t="str">
        <f>+VLOOKUP($L756,Data_Validation!$A:$E,5,0)</f>
        <v>nb</v>
      </c>
    </row>
    <row r="757" spans="1:23" ht="15.75" customHeight="1">
      <c r="A757" s="662" t="s">
        <v>1582</v>
      </c>
      <c r="B757" s="662" t="s">
        <v>750</v>
      </c>
      <c r="C757" s="663"/>
      <c r="D757" s="663"/>
      <c r="E757" s="663"/>
      <c r="F757" s="662" t="s">
        <v>4</v>
      </c>
      <c r="G757" s="662" t="s">
        <v>1120</v>
      </c>
      <c r="H757" s="153" t="s">
        <v>2997</v>
      </c>
      <c r="I757" s="153">
        <v>-542</v>
      </c>
      <c r="J757" s="153">
        <v>-70</v>
      </c>
      <c r="K757" s="153">
        <v>-612</v>
      </c>
      <c r="L757" s="149" t="str">
        <f t="shared" si="55"/>
        <v>470B@</v>
      </c>
      <c r="M757" s="150" t="str">
        <f t="shared" si="56"/>
        <v># DE VTE - PCS BT CLIENT BMW CAMION</v>
      </c>
      <c r="N757" s="151">
        <f>+IF(OR($Q757=Parametres!$G$2,$Q757=Parametres!$G$3),I757,C757)</f>
        <v>-542</v>
      </c>
      <c r="O757" s="151">
        <f>+IF(OR($Q757=Parametres!$G$2,$Q757=Parametres!$G$3),J757,D757)</f>
        <v>-70</v>
      </c>
      <c r="P757" s="151">
        <f>+IF(OR($Q757=Parametres!$G$2,$Q757=Parametres!$G$3),K757,E757)</f>
        <v>-612</v>
      </c>
      <c r="Q757" s="150" t="str">
        <f t="shared" si="57"/>
        <v>10-Compte compteur</v>
      </c>
      <c r="R757" s="149" t="str">
        <f t="shared" si="58"/>
        <v>470A</v>
      </c>
      <c r="S757" s="150" t="str">
        <f t="shared" si="59"/>
        <v>_</v>
      </c>
      <c r="T757" s="152" t="str">
        <f>+VLOOKUP($L757,Data_Validation!$A:$D,1,0)</f>
        <v>470B@</v>
      </c>
      <c r="U757" s="152" t="str">
        <f>+VLOOKUP($L757,Data_Validation!$A:$D,3,0)</f>
        <v>Pièces</v>
      </c>
      <c r="V757" s="152" t="str">
        <f>+VLOOKUP($L757,Data_Validation!$A:$D,4,0)</f>
        <v>Pièces Ro Clients</v>
      </c>
      <c r="W757" s="152" t="str">
        <f>+VLOOKUP($L757,Data_Validation!$A:$E,5,0)</f>
        <v>nb</v>
      </c>
    </row>
    <row r="758" spans="1:23" ht="15.75" customHeight="1">
      <c r="A758" s="662" t="s">
        <v>1583</v>
      </c>
      <c r="B758" s="662" t="s">
        <v>1051</v>
      </c>
      <c r="C758" s="663"/>
      <c r="D758" s="663"/>
      <c r="E758" s="663"/>
      <c r="F758" s="662" t="s">
        <v>4</v>
      </c>
      <c r="G758" s="662" t="s">
        <v>1120</v>
      </c>
      <c r="H758" s="153" t="s">
        <v>2997</v>
      </c>
      <c r="I758" s="153">
        <v>-33</v>
      </c>
      <c r="J758" s="153">
        <v>-15</v>
      </c>
      <c r="K758" s="153">
        <v>-48</v>
      </c>
      <c r="L758" s="149" t="str">
        <f t="shared" si="55"/>
        <v>470D@</v>
      </c>
      <c r="M758" s="150" t="str">
        <f t="shared" si="56"/>
        <v># DE VTE - PIECES BT CLIENT BMW I</v>
      </c>
      <c r="N758" s="151">
        <f>+IF(OR($Q758=Parametres!$G$2,$Q758=Parametres!$G$3),I758,C758)</f>
        <v>-33</v>
      </c>
      <c r="O758" s="151">
        <f>+IF(OR($Q758=Parametres!$G$2,$Q758=Parametres!$G$3),J758,D758)</f>
        <v>-15</v>
      </c>
      <c r="P758" s="151">
        <f>+IF(OR($Q758=Parametres!$G$2,$Q758=Parametres!$G$3),K758,E758)</f>
        <v>-48</v>
      </c>
      <c r="Q758" s="150" t="str">
        <f t="shared" si="57"/>
        <v>10-Compte compteur</v>
      </c>
      <c r="R758" s="149" t="str">
        <f t="shared" si="58"/>
        <v>470A</v>
      </c>
      <c r="S758" s="150" t="str">
        <f t="shared" si="59"/>
        <v>_</v>
      </c>
      <c r="T758" s="152" t="str">
        <f>+VLOOKUP($L758,Data_Validation!$A:$D,1,0)</f>
        <v>470D@</v>
      </c>
      <c r="U758" s="152" t="str">
        <f>+VLOOKUP($L758,Data_Validation!$A:$D,3,0)</f>
        <v>Pièces</v>
      </c>
      <c r="V758" s="152" t="str">
        <f>+VLOOKUP($L758,Data_Validation!$A:$D,4,0)</f>
        <v>Pièces Ro Clients</v>
      </c>
      <c r="W758" s="152" t="str">
        <f>+VLOOKUP($L758,Data_Validation!$A:$E,5,0)</f>
        <v>nb</v>
      </c>
    </row>
    <row r="759" spans="1:23" ht="15.75" customHeight="1">
      <c r="A759" s="662" t="s">
        <v>2089</v>
      </c>
      <c r="B759" s="662" t="s">
        <v>2090</v>
      </c>
      <c r="C759" s="663"/>
      <c r="D759" s="663"/>
      <c r="E759" s="663"/>
      <c r="F759" s="662" t="s">
        <v>4</v>
      </c>
      <c r="G759" s="662" t="s">
        <v>2082</v>
      </c>
      <c r="H759" s="153" t="s">
        <v>2997</v>
      </c>
      <c r="I759" s="153">
        <v>-3</v>
      </c>
      <c r="J759" s="153">
        <v>0</v>
      </c>
      <c r="K759" s="153">
        <v>-3</v>
      </c>
      <c r="L759" s="149" t="str">
        <f t="shared" si="55"/>
        <v>471A@</v>
      </c>
      <c r="M759" s="150" t="str">
        <f t="shared" si="56"/>
        <v># DE VTE - PCS BT CARROSS BMW AUTO</v>
      </c>
      <c r="N759" s="151">
        <f>+IF(OR($Q759=Parametres!$G$2,$Q759=Parametres!$G$3),I759,C759)</f>
        <v>-3</v>
      </c>
      <c r="O759" s="151">
        <f>+IF(OR($Q759=Parametres!$G$2,$Q759=Parametres!$G$3),J759,D759)</f>
        <v>0</v>
      </c>
      <c r="P759" s="151">
        <f>+IF(OR($Q759=Parametres!$G$2,$Q759=Parametres!$G$3),K759,E759)</f>
        <v>-3</v>
      </c>
      <c r="Q759" s="150" t="str">
        <f t="shared" si="57"/>
        <v>10-Compte compteur</v>
      </c>
      <c r="R759" s="149" t="str">
        <f t="shared" si="58"/>
        <v>471A</v>
      </c>
      <c r="S759" s="150" t="str">
        <f t="shared" si="59"/>
        <v>_</v>
      </c>
      <c r="T759" s="152" t="str">
        <f>+VLOOKUP($L759,Data_Validation!$A:$D,1,0)</f>
        <v>471A@</v>
      </c>
      <c r="U759" s="152" t="str">
        <f>+VLOOKUP($L759,Data_Validation!$A:$D,3,0)</f>
        <v>Pièces</v>
      </c>
      <c r="V759" s="152" t="str">
        <f>+VLOOKUP($L759,Data_Validation!$A:$D,4,0)</f>
        <v>Pièces Ro Carrosserie</v>
      </c>
      <c r="W759" s="152" t="str">
        <f>+VLOOKUP($L759,Data_Validation!$A:$E,5,0)</f>
        <v>nb</v>
      </c>
    </row>
    <row r="760" spans="1:23" ht="15.75" customHeight="1">
      <c r="A760" s="662" t="s">
        <v>2425</v>
      </c>
      <c r="B760" s="662" t="s">
        <v>2426</v>
      </c>
      <c r="C760" s="663"/>
      <c r="D760" s="663"/>
      <c r="E760" s="663"/>
      <c r="F760" s="662" t="s">
        <v>4</v>
      </c>
      <c r="G760" s="662" t="s">
        <v>2082</v>
      </c>
      <c r="H760" s="153" t="s">
        <v>2997</v>
      </c>
      <c r="I760" s="153">
        <v>-2</v>
      </c>
      <c r="J760" s="153">
        <v>0</v>
      </c>
      <c r="K760" s="153">
        <v>-2</v>
      </c>
      <c r="L760" s="149" t="str">
        <f t="shared" si="55"/>
        <v>471B@</v>
      </c>
      <c r="M760" s="150" t="str">
        <f t="shared" si="56"/>
        <v># DE VTE - PCS BT CARROSS BMW CAMION</v>
      </c>
      <c r="N760" s="151">
        <f>+IF(OR($Q760=Parametres!$G$2,$Q760=Parametres!$G$3),I760,C760)</f>
        <v>-2</v>
      </c>
      <c r="O760" s="151">
        <f>+IF(OR($Q760=Parametres!$G$2,$Q760=Parametres!$G$3),J760,D760)</f>
        <v>0</v>
      </c>
      <c r="P760" s="151">
        <f>+IF(OR($Q760=Parametres!$G$2,$Q760=Parametres!$G$3),K760,E760)</f>
        <v>-2</v>
      </c>
      <c r="Q760" s="150" t="str">
        <f t="shared" si="57"/>
        <v>10-Compte compteur</v>
      </c>
      <c r="R760" s="149" t="str">
        <f t="shared" si="58"/>
        <v>471A</v>
      </c>
      <c r="S760" s="150" t="str">
        <f t="shared" si="59"/>
        <v>_</v>
      </c>
      <c r="T760" s="152" t="str">
        <f>+VLOOKUP($L760,Data_Validation!$A:$D,1,0)</f>
        <v>471B@</v>
      </c>
      <c r="U760" s="152" t="str">
        <f>+VLOOKUP($L760,Data_Validation!$A:$D,3,0)</f>
        <v>Pièces</v>
      </c>
      <c r="V760" s="152" t="str">
        <f>+VLOOKUP($L760,Data_Validation!$A:$D,4,0)</f>
        <v>Pièces Ro Carrosserie</v>
      </c>
      <c r="W760" s="152" t="str">
        <f>+VLOOKUP($L760,Data_Validation!$A:$E,5,0)</f>
        <v>nb</v>
      </c>
    </row>
    <row r="761" spans="1:23" ht="15.75" customHeight="1">
      <c r="A761" s="662" t="s">
        <v>1584</v>
      </c>
      <c r="B761" s="662" t="s">
        <v>1585</v>
      </c>
      <c r="C761" s="663"/>
      <c r="D761" s="663"/>
      <c r="E761" s="663"/>
      <c r="F761" s="662" t="s">
        <v>4</v>
      </c>
      <c r="G761" s="662" t="s">
        <v>1096</v>
      </c>
      <c r="H761" s="153" t="s">
        <v>2997</v>
      </c>
      <c r="I761" s="153">
        <v>-296</v>
      </c>
      <c r="J761" s="153">
        <v>-18</v>
      </c>
      <c r="K761" s="153">
        <v>-314</v>
      </c>
      <c r="L761" s="149" t="str">
        <f t="shared" si="55"/>
        <v>472A@</v>
      </c>
      <c r="M761" s="150" t="str">
        <f t="shared" si="56"/>
        <v># DE VTE - PCS GARANTIE BMW AUTO</v>
      </c>
      <c r="N761" s="151">
        <f>+IF(OR($Q761=Parametres!$G$2,$Q761=Parametres!$G$3),I761,C761)</f>
        <v>-296</v>
      </c>
      <c r="O761" s="151">
        <f>+IF(OR($Q761=Parametres!$G$2,$Q761=Parametres!$G$3),J761,D761)</f>
        <v>-18</v>
      </c>
      <c r="P761" s="151">
        <f>+IF(OR($Q761=Parametres!$G$2,$Q761=Parametres!$G$3),K761,E761)</f>
        <v>-314</v>
      </c>
      <c r="Q761" s="150" t="str">
        <f t="shared" si="57"/>
        <v>10-Compte compteur</v>
      </c>
      <c r="R761" s="149" t="str">
        <f t="shared" si="58"/>
        <v>472A</v>
      </c>
      <c r="S761" s="150" t="str">
        <f t="shared" si="59"/>
        <v>_</v>
      </c>
      <c r="T761" s="152" t="str">
        <f>+VLOOKUP($L761,Data_Validation!$A:$D,1,0)</f>
        <v>472A@</v>
      </c>
      <c r="U761" s="152" t="str">
        <f>+VLOOKUP($L761,Data_Validation!$A:$D,3,0)</f>
        <v>pièces</v>
      </c>
      <c r="V761" s="152" t="str">
        <f>+VLOOKUP($L761,Data_Validation!$A:$D,4,0)</f>
        <v>P/A Garantie</v>
      </c>
      <c r="W761" s="152" t="str">
        <f>+VLOOKUP($L761,Data_Validation!$A:$E,5,0)</f>
        <v>nb</v>
      </c>
    </row>
    <row r="762" spans="1:23" ht="15.75" customHeight="1">
      <c r="A762" s="655" t="s">
        <v>1586</v>
      </c>
      <c r="B762" s="655" t="s">
        <v>751</v>
      </c>
      <c r="C762" s="656"/>
      <c r="D762" s="656"/>
      <c r="E762" s="656"/>
      <c r="F762" s="655" t="s">
        <v>4</v>
      </c>
      <c r="G762" s="655" t="s">
        <v>1096</v>
      </c>
      <c r="H762" s="153" t="s">
        <v>2997</v>
      </c>
      <c r="I762" s="153">
        <v>-459</v>
      </c>
      <c r="J762" s="153">
        <v>-36</v>
      </c>
      <c r="K762" s="153">
        <v>-495</v>
      </c>
      <c r="L762" s="149" t="str">
        <f t="shared" si="55"/>
        <v>472B@</v>
      </c>
      <c r="M762" s="150" t="str">
        <f t="shared" si="56"/>
        <v># DE VTE - PCS GARANTIE BMW CAMION</v>
      </c>
      <c r="N762" s="151">
        <f>+IF(OR($Q762=Parametres!$G$2,$Q762=Parametres!$G$3),I762,C762)</f>
        <v>-459</v>
      </c>
      <c r="O762" s="151">
        <f>+IF(OR($Q762=Parametres!$G$2,$Q762=Parametres!$G$3),J762,D762)</f>
        <v>-36</v>
      </c>
      <c r="P762" s="151">
        <f>+IF(OR($Q762=Parametres!$G$2,$Q762=Parametres!$G$3),K762,E762)</f>
        <v>-495</v>
      </c>
      <c r="Q762" s="150" t="str">
        <f t="shared" si="57"/>
        <v>10-Compte compteur</v>
      </c>
      <c r="R762" s="149" t="str">
        <f t="shared" si="58"/>
        <v>472A</v>
      </c>
      <c r="S762" s="150" t="str">
        <f t="shared" si="59"/>
        <v>_</v>
      </c>
      <c r="T762" s="152" t="str">
        <f>+VLOOKUP($L762,Data_Validation!$A:$D,1,0)</f>
        <v>472B@</v>
      </c>
      <c r="U762" s="152" t="str">
        <f>+VLOOKUP($L762,Data_Validation!$A:$D,3,0)</f>
        <v>pièces</v>
      </c>
      <c r="V762" s="152" t="str">
        <f>+VLOOKUP($L762,Data_Validation!$A:$D,4,0)</f>
        <v>P/A Garantie</v>
      </c>
      <c r="W762" s="152" t="str">
        <f>+VLOOKUP($L762,Data_Validation!$A:$E,5,0)</f>
        <v>nb</v>
      </c>
    </row>
    <row r="763" spans="1:23" ht="15.75" customHeight="1">
      <c r="A763" s="655" t="s">
        <v>1587</v>
      </c>
      <c r="B763" s="655" t="s">
        <v>752</v>
      </c>
      <c r="C763" s="656"/>
      <c r="D763" s="656"/>
      <c r="E763" s="656"/>
      <c r="F763" s="655" t="s">
        <v>4</v>
      </c>
      <c r="G763" s="655" t="s">
        <v>434</v>
      </c>
      <c r="H763" s="153" t="s">
        <v>2997</v>
      </c>
      <c r="I763" s="153">
        <v>-251</v>
      </c>
      <c r="J763" s="153">
        <v>-14</v>
      </c>
      <c r="K763" s="153">
        <v>-265</v>
      </c>
      <c r="L763" s="149" t="str">
        <f t="shared" si="55"/>
        <v>472D@</v>
      </c>
      <c r="M763" s="150" t="str">
        <f t="shared" si="56"/>
        <v># DE VTE - PCS ENTRETIEN BMW AUTO</v>
      </c>
      <c r="N763" s="151">
        <f>+IF(OR($Q763=Parametres!$G$2,$Q763=Parametres!$G$3),I763,C763)</f>
        <v>-251</v>
      </c>
      <c r="O763" s="151">
        <f>+IF(OR($Q763=Parametres!$G$2,$Q763=Parametres!$G$3),J763,D763)</f>
        <v>-14</v>
      </c>
      <c r="P763" s="151">
        <f>+IF(OR($Q763=Parametres!$G$2,$Q763=Parametres!$G$3),K763,E763)</f>
        <v>-265</v>
      </c>
      <c r="Q763" s="150" t="str">
        <f t="shared" si="57"/>
        <v>10-Compte compteur</v>
      </c>
      <c r="R763" s="149" t="str">
        <f t="shared" si="58"/>
        <v>472D</v>
      </c>
      <c r="S763" s="150" t="str">
        <f t="shared" si="59"/>
        <v>_</v>
      </c>
      <c r="T763" s="152" t="str">
        <f>+VLOOKUP($L763,Data_Validation!$A:$D,1,0)</f>
        <v>472D@</v>
      </c>
      <c r="U763" s="152" t="str">
        <f>+VLOOKUP($L763,Data_Validation!$A:$D,3,0)</f>
        <v>pièces</v>
      </c>
      <c r="V763" s="152" t="str">
        <f>+VLOOKUP($L763,Data_Validation!$A:$D,4,0)</f>
        <v>P/A Garantie</v>
      </c>
      <c r="W763" s="152" t="str">
        <f>+VLOOKUP($L763,Data_Validation!$A:$E,5,0)</f>
        <v>nb</v>
      </c>
    </row>
    <row r="764" spans="1:23" ht="15.75" customHeight="1">
      <c r="A764" s="655" t="s">
        <v>1588</v>
      </c>
      <c r="B764" s="655" t="s">
        <v>753</v>
      </c>
      <c r="C764" s="656"/>
      <c r="D764" s="656"/>
      <c r="E764" s="656"/>
      <c r="F764" s="655" t="s">
        <v>4</v>
      </c>
      <c r="G764" s="655" t="s">
        <v>434</v>
      </c>
      <c r="H764" s="153" t="s">
        <v>2997</v>
      </c>
      <c r="I764" s="153">
        <v>-521</v>
      </c>
      <c r="J764" s="153">
        <v>-66</v>
      </c>
      <c r="K764" s="153">
        <v>-587</v>
      </c>
      <c r="L764" s="149" t="str">
        <f t="shared" si="55"/>
        <v>472E@</v>
      </c>
      <c r="M764" s="150" t="str">
        <f t="shared" si="56"/>
        <v># DE VTE - PCS ENTRETIEN BMW CAMION</v>
      </c>
      <c r="N764" s="151">
        <f>+IF(OR($Q764=Parametres!$G$2,$Q764=Parametres!$G$3),I764,C764)</f>
        <v>-521</v>
      </c>
      <c r="O764" s="151">
        <f>+IF(OR($Q764=Parametres!$G$2,$Q764=Parametres!$G$3),J764,D764)</f>
        <v>-66</v>
      </c>
      <c r="P764" s="151">
        <f>+IF(OR($Q764=Parametres!$G$2,$Q764=Parametres!$G$3),K764,E764)</f>
        <v>-587</v>
      </c>
      <c r="Q764" s="150" t="str">
        <f t="shared" si="57"/>
        <v>10-Compte compteur</v>
      </c>
      <c r="R764" s="149" t="str">
        <f t="shared" si="58"/>
        <v>472D</v>
      </c>
      <c r="S764" s="150" t="str">
        <f t="shared" si="59"/>
        <v>_</v>
      </c>
      <c r="T764" s="152" t="str">
        <f>+VLOOKUP($L764,Data_Validation!$A:$D,1,0)</f>
        <v>472E@</v>
      </c>
      <c r="U764" s="152" t="str">
        <f>+VLOOKUP($L764,Data_Validation!$A:$D,3,0)</f>
        <v>pièces</v>
      </c>
      <c r="V764" s="152" t="str">
        <f>+VLOOKUP($L764,Data_Validation!$A:$D,4,0)</f>
        <v>P/A Garantie</v>
      </c>
      <c r="W764" s="152" t="str">
        <f>+VLOOKUP($L764,Data_Validation!$A:$E,5,0)</f>
        <v>nb</v>
      </c>
    </row>
    <row r="765" spans="1:23" ht="15.75" customHeight="1">
      <c r="A765" s="655" t="s">
        <v>1589</v>
      </c>
      <c r="B765" s="655" t="s">
        <v>1052</v>
      </c>
      <c r="C765" s="656"/>
      <c r="D765" s="656"/>
      <c r="E765" s="656"/>
      <c r="F765" s="655" t="s">
        <v>4</v>
      </c>
      <c r="G765" s="655" t="s">
        <v>434</v>
      </c>
      <c r="H765" s="153" t="s">
        <v>2997</v>
      </c>
      <c r="I765" s="153">
        <v>-33</v>
      </c>
      <c r="J765" s="153">
        <v>-10</v>
      </c>
      <c r="K765" s="153">
        <v>-43</v>
      </c>
      <c r="L765" s="149" t="str">
        <f t="shared" si="55"/>
        <v>472G@</v>
      </c>
      <c r="M765" s="150" t="str">
        <f t="shared" si="56"/>
        <v># DE VTE - PIECES ENTRETIEN BMW I</v>
      </c>
      <c r="N765" s="151">
        <f>+IF(OR($Q765=Parametres!$G$2,$Q765=Parametres!$G$3),I765,C765)</f>
        <v>-33</v>
      </c>
      <c r="O765" s="151">
        <f>+IF(OR($Q765=Parametres!$G$2,$Q765=Parametres!$G$3),J765,D765)</f>
        <v>-10</v>
      </c>
      <c r="P765" s="151">
        <f>+IF(OR($Q765=Parametres!$G$2,$Q765=Parametres!$G$3),K765,E765)</f>
        <v>-43</v>
      </c>
      <c r="Q765" s="150" t="str">
        <f t="shared" si="57"/>
        <v>10-Compte compteur</v>
      </c>
      <c r="R765" s="149" t="str">
        <f t="shared" si="58"/>
        <v>472D</v>
      </c>
      <c r="S765" s="150" t="str">
        <f t="shared" si="59"/>
        <v>_</v>
      </c>
      <c r="T765" s="152" t="str">
        <f>+VLOOKUP($L765,Data_Validation!$A:$D,1,0)</f>
        <v>472G@</v>
      </c>
      <c r="U765" s="152" t="str">
        <f>+VLOOKUP($L765,Data_Validation!$A:$D,3,0)</f>
        <v>pièces</v>
      </c>
      <c r="V765" s="152" t="str">
        <f>+VLOOKUP($L765,Data_Validation!$A:$D,4,0)</f>
        <v>P/A Garantie</v>
      </c>
      <c r="W765" s="152" t="str">
        <f>+VLOOKUP($L765,Data_Validation!$A:$E,5,0)</f>
        <v>nb</v>
      </c>
    </row>
    <row r="766" spans="1:23" ht="15.75" customHeight="1">
      <c r="A766" s="655" t="s">
        <v>1053</v>
      </c>
      <c r="B766" s="655" t="s">
        <v>1054</v>
      </c>
      <c r="C766" s="656"/>
      <c r="D766" s="656"/>
      <c r="E766" s="656"/>
      <c r="F766" s="655" t="s">
        <v>4</v>
      </c>
      <c r="G766" s="655" t="s">
        <v>1096</v>
      </c>
      <c r="H766" s="153" t="s">
        <v>2997</v>
      </c>
      <c r="I766" s="153">
        <v>-96</v>
      </c>
      <c r="J766" s="153">
        <v>-13</v>
      </c>
      <c r="K766" s="153">
        <v>-109</v>
      </c>
      <c r="L766" s="149" t="str">
        <f t="shared" si="55"/>
        <v>472H@</v>
      </c>
      <c r="M766" s="150" t="str">
        <f t="shared" si="56"/>
        <v># DE VTE - PIECES GARANTIE BMW I</v>
      </c>
      <c r="N766" s="151">
        <f>+IF(OR($Q766=Parametres!$G$2,$Q766=Parametres!$G$3),I766,C766)</f>
        <v>-96</v>
      </c>
      <c r="O766" s="151">
        <f>+IF(OR($Q766=Parametres!$G$2,$Q766=Parametres!$G$3),J766,D766)</f>
        <v>-13</v>
      </c>
      <c r="P766" s="151">
        <f>+IF(OR($Q766=Parametres!$G$2,$Q766=Parametres!$G$3),K766,E766)</f>
        <v>-109</v>
      </c>
      <c r="Q766" s="150" t="str">
        <f t="shared" si="57"/>
        <v>10-Compte compteur</v>
      </c>
      <c r="R766" s="149" t="str">
        <f t="shared" si="58"/>
        <v>472A</v>
      </c>
      <c r="S766" s="150" t="str">
        <f t="shared" si="59"/>
        <v>_</v>
      </c>
      <c r="T766" s="152" t="str">
        <f>+VLOOKUP($L766,Data_Validation!$A:$D,1,0)</f>
        <v>472H@</v>
      </c>
      <c r="U766" s="152" t="str">
        <f>+VLOOKUP($L766,Data_Validation!$A:$D,3,0)</f>
        <v>pièces</v>
      </c>
      <c r="V766" s="152" t="str">
        <f>+VLOOKUP($L766,Data_Validation!$A:$D,4,0)</f>
        <v>P/A Garantie</v>
      </c>
      <c r="W766" s="152" t="str">
        <f>+VLOOKUP($L766,Data_Validation!$A:$E,5,0)</f>
        <v>nb</v>
      </c>
    </row>
    <row r="767" spans="1:23" ht="15.75" customHeight="1">
      <c r="A767" s="655" t="s">
        <v>1590</v>
      </c>
      <c r="B767" s="655" t="s">
        <v>1591</v>
      </c>
      <c r="C767" s="656"/>
      <c r="D767" s="656"/>
      <c r="E767" s="656"/>
      <c r="F767" s="655" t="s">
        <v>4</v>
      </c>
      <c r="G767" s="655" t="s">
        <v>1132</v>
      </c>
      <c r="H767" s="153" t="s">
        <v>2997</v>
      </c>
      <c r="I767" s="153">
        <v>-393</v>
      </c>
      <c r="J767" s="153">
        <v>-39</v>
      </c>
      <c r="K767" s="153">
        <v>-432</v>
      </c>
      <c r="L767" s="149" t="str">
        <f t="shared" si="55"/>
        <v>473A@</v>
      </c>
      <c r="M767" s="150" t="str">
        <f t="shared" si="56"/>
        <v># DE VTE - PCS INTERNE BMW AUTO</v>
      </c>
      <c r="N767" s="151">
        <f>+IF(OR($Q767=Parametres!$G$2,$Q767=Parametres!$G$3),I767,C767)</f>
        <v>-393</v>
      </c>
      <c r="O767" s="151">
        <f>+IF(OR($Q767=Parametres!$G$2,$Q767=Parametres!$G$3),J767,D767)</f>
        <v>-39</v>
      </c>
      <c r="P767" s="151">
        <f>+IF(OR($Q767=Parametres!$G$2,$Q767=Parametres!$G$3),K767,E767)</f>
        <v>-432</v>
      </c>
      <c r="Q767" s="150" t="str">
        <f t="shared" si="57"/>
        <v>10-Compte compteur</v>
      </c>
      <c r="R767" s="149" t="str">
        <f t="shared" si="58"/>
        <v>473A</v>
      </c>
      <c r="S767" s="150" t="str">
        <f t="shared" si="59"/>
        <v>_</v>
      </c>
      <c r="T767" s="152" t="str">
        <f>+VLOOKUP($L767,Data_Validation!$A:$D,1,0)</f>
        <v>473A@</v>
      </c>
      <c r="U767" s="152" t="str">
        <f>+VLOOKUP($L767,Data_Validation!$A:$D,3,0)</f>
        <v>pièces</v>
      </c>
      <c r="V767" s="152" t="str">
        <f>+VLOOKUP($L767,Data_Validation!$A:$D,4,0)</f>
        <v>Ventes Internes</v>
      </c>
      <c r="W767" s="152" t="str">
        <f>+VLOOKUP($L767,Data_Validation!$A:$E,5,0)</f>
        <v>nb</v>
      </c>
    </row>
    <row r="768" spans="1:23" ht="15.75" customHeight="1">
      <c r="A768" s="655" t="s">
        <v>1592</v>
      </c>
      <c r="B768" s="655" t="s">
        <v>754</v>
      </c>
      <c r="C768" s="656"/>
      <c r="D768" s="656"/>
      <c r="E768" s="656"/>
      <c r="F768" s="655" t="s">
        <v>4</v>
      </c>
      <c r="G768" s="655" t="s">
        <v>1132</v>
      </c>
      <c r="H768" s="153" t="s">
        <v>2997</v>
      </c>
      <c r="I768" s="153">
        <v>-318</v>
      </c>
      <c r="J768" s="153">
        <v>-44</v>
      </c>
      <c r="K768" s="153">
        <v>-362</v>
      </c>
      <c r="L768" s="149" t="str">
        <f t="shared" si="55"/>
        <v>473B@</v>
      </c>
      <c r="M768" s="150" t="str">
        <f t="shared" si="56"/>
        <v># DE VTE - PCS INTERNE BMW CAMION</v>
      </c>
      <c r="N768" s="151">
        <f>+IF(OR($Q768=Parametres!$G$2,$Q768=Parametres!$G$3),I768,C768)</f>
        <v>-318</v>
      </c>
      <c r="O768" s="151">
        <f>+IF(OR($Q768=Parametres!$G$2,$Q768=Parametres!$G$3),J768,D768)</f>
        <v>-44</v>
      </c>
      <c r="P768" s="151">
        <f>+IF(OR($Q768=Parametres!$G$2,$Q768=Parametres!$G$3),K768,E768)</f>
        <v>-362</v>
      </c>
      <c r="Q768" s="150" t="str">
        <f t="shared" si="57"/>
        <v>10-Compte compteur</v>
      </c>
      <c r="R768" s="149" t="str">
        <f t="shared" si="58"/>
        <v>473A</v>
      </c>
      <c r="S768" s="150" t="str">
        <f t="shared" si="59"/>
        <v>_</v>
      </c>
      <c r="T768" s="152" t="str">
        <f>+VLOOKUP($L768,Data_Validation!$A:$D,1,0)</f>
        <v>473B@</v>
      </c>
      <c r="U768" s="152" t="str">
        <f>+VLOOKUP($L768,Data_Validation!$A:$D,3,0)</f>
        <v>pièces</v>
      </c>
      <c r="V768" s="152" t="str">
        <f>+VLOOKUP($L768,Data_Validation!$A:$D,4,0)</f>
        <v>Ventes Internes</v>
      </c>
      <c r="W768" s="152" t="str">
        <f>+VLOOKUP($L768,Data_Validation!$A:$E,5,0)</f>
        <v>nb</v>
      </c>
    </row>
    <row r="769" spans="1:23" ht="15.75" customHeight="1">
      <c r="A769" s="655" t="s">
        <v>1055</v>
      </c>
      <c r="B769" s="655" t="s">
        <v>1056</v>
      </c>
      <c r="C769" s="656"/>
      <c r="D769" s="656"/>
      <c r="E769" s="656"/>
      <c r="F769" s="655" t="s">
        <v>4</v>
      </c>
      <c r="G769" s="655" t="s">
        <v>1132</v>
      </c>
      <c r="H769" s="153" t="s">
        <v>2997</v>
      </c>
      <c r="I769" s="153">
        <v>-69</v>
      </c>
      <c r="J769" s="153">
        <v>-6</v>
      </c>
      <c r="K769" s="153">
        <v>-75</v>
      </c>
      <c r="L769" s="149" t="str">
        <f t="shared" si="55"/>
        <v>473D@</v>
      </c>
      <c r="M769" s="150" t="str">
        <f t="shared" si="56"/>
        <v># DE VTE - PIECES INTERNE BMW I</v>
      </c>
      <c r="N769" s="151">
        <f>+IF(OR($Q769=Parametres!$G$2,$Q769=Parametres!$G$3),I769,C769)</f>
        <v>-69</v>
      </c>
      <c r="O769" s="151">
        <f>+IF(OR($Q769=Parametres!$G$2,$Q769=Parametres!$G$3),J769,D769)</f>
        <v>-6</v>
      </c>
      <c r="P769" s="151">
        <f>+IF(OR($Q769=Parametres!$G$2,$Q769=Parametres!$G$3),K769,E769)</f>
        <v>-75</v>
      </c>
      <c r="Q769" s="150" t="str">
        <f t="shared" si="57"/>
        <v>10-Compte compteur</v>
      </c>
      <c r="R769" s="149" t="str">
        <f t="shared" si="58"/>
        <v>473A</v>
      </c>
      <c r="S769" s="150" t="str">
        <f t="shared" si="59"/>
        <v>_</v>
      </c>
      <c r="T769" s="152" t="str">
        <f>+VLOOKUP($L769,Data_Validation!$A:$D,1,0)</f>
        <v>473D@</v>
      </c>
      <c r="U769" s="152" t="str">
        <f>+VLOOKUP($L769,Data_Validation!$A:$D,3,0)</f>
        <v>pièces</v>
      </c>
      <c r="V769" s="152" t="str">
        <f>+VLOOKUP($L769,Data_Validation!$A:$D,4,0)</f>
        <v>Ventes Internes</v>
      </c>
      <c r="W769" s="152" t="str">
        <f>+VLOOKUP($L769,Data_Validation!$A:$E,5,0)</f>
        <v>nb</v>
      </c>
    </row>
    <row r="770" spans="1:23" ht="15.75" customHeight="1">
      <c r="A770" s="655" t="s">
        <v>1593</v>
      </c>
      <c r="B770" s="655" t="s">
        <v>1594</v>
      </c>
      <c r="C770" s="656"/>
      <c r="D770" s="656"/>
      <c r="E770" s="656"/>
      <c r="F770" s="655" t="s">
        <v>4</v>
      </c>
      <c r="G770" s="655" t="s">
        <v>1118</v>
      </c>
      <c r="H770" s="153" t="s">
        <v>2997</v>
      </c>
      <c r="I770" s="153">
        <v>-746</v>
      </c>
      <c r="J770" s="153">
        <v>-88</v>
      </c>
      <c r="K770" s="153">
        <v>-834</v>
      </c>
      <c r="L770" s="149" t="str">
        <f t="shared" ref="L770:L833" si="60">+B770</f>
        <v>474A@</v>
      </c>
      <c r="M770" s="150" t="str">
        <f t="shared" ref="M770:M833" si="61">+A770</f>
        <v># DE VTE - PCS COMPTOIR BMW AUTO</v>
      </c>
      <c r="N770" s="151">
        <f>+IF(OR($Q770=Parametres!$G$2,$Q770=Parametres!$G$3),I770,C770)</f>
        <v>-746</v>
      </c>
      <c r="O770" s="151">
        <f>+IF(OR($Q770=Parametres!$G$2,$Q770=Parametres!$G$3),J770,D770)</f>
        <v>-88</v>
      </c>
      <c r="P770" s="151">
        <f>+IF(OR($Q770=Parametres!$G$2,$Q770=Parametres!$G$3),K770,E770)</f>
        <v>-834</v>
      </c>
      <c r="Q770" s="150" t="str">
        <f t="shared" ref="Q770:Q833" si="62">+F770</f>
        <v>10-Compte compteur</v>
      </c>
      <c r="R770" s="149" t="str">
        <f t="shared" ref="R770:R833" si="63">+G770</f>
        <v>474A</v>
      </c>
      <c r="S770" s="150" t="str">
        <f t="shared" ref="S770:S833" si="64">+H770</f>
        <v>_</v>
      </c>
      <c r="T770" s="152" t="str">
        <f>+VLOOKUP($L770,Data_Validation!$A:$D,1,0)</f>
        <v>474A@</v>
      </c>
      <c r="U770" s="152" t="str">
        <f>+VLOOKUP($L770,Data_Validation!$A:$D,3,0)</f>
        <v>pièces</v>
      </c>
      <c r="V770" s="152" t="str">
        <f>+VLOOKUP($L770,Data_Validation!$A:$D,4,0)</f>
        <v>Ventes Détails</v>
      </c>
      <c r="W770" s="152" t="str">
        <f>+VLOOKUP($L770,Data_Validation!$A:$E,5,0)</f>
        <v>nb</v>
      </c>
    </row>
    <row r="771" spans="1:23" ht="15.75" customHeight="1">
      <c r="A771" s="655" t="s">
        <v>1595</v>
      </c>
      <c r="B771" s="655" t="s">
        <v>755</v>
      </c>
      <c r="C771" s="656"/>
      <c r="D771" s="656"/>
      <c r="E771" s="656"/>
      <c r="F771" s="655" t="s">
        <v>4</v>
      </c>
      <c r="G771" s="655" t="s">
        <v>1118</v>
      </c>
      <c r="H771" s="153" t="s">
        <v>2997</v>
      </c>
      <c r="I771" s="153">
        <v>-86</v>
      </c>
      <c r="J771" s="153">
        <v>-6</v>
      </c>
      <c r="K771" s="153">
        <v>-92</v>
      </c>
      <c r="L771" s="149" t="str">
        <f t="shared" si="60"/>
        <v>474D@</v>
      </c>
      <c r="M771" s="150" t="str">
        <f t="shared" si="61"/>
        <v># DE VTE - PCS COMP. BMW LIFESTYLE</v>
      </c>
      <c r="N771" s="151">
        <f>+IF(OR($Q771=Parametres!$G$2,$Q771=Parametres!$G$3),I771,C771)</f>
        <v>-86</v>
      </c>
      <c r="O771" s="151">
        <f>+IF(OR($Q771=Parametres!$G$2,$Q771=Parametres!$G$3),J771,D771)</f>
        <v>-6</v>
      </c>
      <c r="P771" s="151">
        <f>+IF(OR($Q771=Parametres!$G$2,$Q771=Parametres!$G$3),K771,E771)</f>
        <v>-92</v>
      </c>
      <c r="Q771" s="150" t="str">
        <f t="shared" si="62"/>
        <v>10-Compte compteur</v>
      </c>
      <c r="R771" s="149" t="str">
        <f t="shared" si="63"/>
        <v>474A</v>
      </c>
      <c r="S771" s="150" t="str">
        <f t="shared" si="64"/>
        <v>_</v>
      </c>
      <c r="T771" s="152" t="str">
        <f>+VLOOKUP($L771,Data_Validation!$A:$D,1,0)</f>
        <v>474D@</v>
      </c>
      <c r="U771" s="152" t="str">
        <f>+VLOOKUP($L771,Data_Validation!$A:$D,3,0)</f>
        <v>pièces</v>
      </c>
      <c r="V771" s="152" t="str">
        <f>+VLOOKUP($L771,Data_Validation!$A:$D,4,0)</f>
        <v>Ventes Détails</v>
      </c>
      <c r="W771" s="152" t="str">
        <f>+VLOOKUP($L771,Data_Validation!$A:$E,5,0)</f>
        <v>nb</v>
      </c>
    </row>
    <row r="772" spans="1:23" ht="15.75" customHeight="1">
      <c r="A772" s="655" t="s">
        <v>1596</v>
      </c>
      <c r="B772" s="655" t="s">
        <v>756</v>
      </c>
      <c r="C772" s="656"/>
      <c r="D772" s="656"/>
      <c r="E772" s="656"/>
      <c r="F772" s="655" t="s">
        <v>4</v>
      </c>
      <c r="G772" s="655" t="s">
        <v>1118</v>
      </c>
      <c r="H772" s="153" t="s">
        <v>2997</v>
      </c>
      <c r="I772" s="153">
        <v>-324</v>
      </c>
      <c r="J772" s="153">
        <v>-33</v>
      </c>
      <c r="K772" s="153">
        <v>-357</v>
      </c>
      <c r="L772" s="149" t="str">
        <f t="shared" si="60"/>
        <v>474E@</v>
      </c>
      <c r="M772" s="150" t="str">
        <f t="shared" si="61"/>
        <v># DE VTE - PCS COMP. BMW ACCESS.</v>
      </c>
      <c r="N772" s="151">
        <f>+IF(OR($Q772=Parametres!$G$2,$Q772=Parametres!$G$3),I772,C772)</f>
        <v>-324</v>
      </c>
      <c r="O772" s="151">
        <f>+IF(OR($Q772=Parametres!$G$2,$Q772=Parametres!$G$3),J772,D772)</f>
        <v>-33</v>
      </c>
      <c r="P772" s="151">
        <f>+IF(OR($Q772=Parametres!$G$2,$Q772=Parametres!$G$3),K772,E772)</f>
        <v>-357</v>
      </c>
      <c r="Q772" s="150" t="str">
        <f t="shared" si="62"/>
        <v>10-Compte compteur</v>
      </c>
      <c r="R772" s="149" t="str">
        <f t="shared" si="63"/>
        <v>474A</v>
      </c>
      <c r="S772" s="150" t="str">
        <f t="shared" si="64"/>
        <v>_</v>
      </c>
      <c r="T772" s="152" t="str">
        <f>+VLOOKUP($L772,Data_Validation!$A:$D,1,0)</f>
        <v>474E@</v>
      </c>
      <c r="U772" s="152" t="str">
        <f>+VLOOKUP($L772,Data_Validation!$A:$D,3,0)</f>
        <v>pièces</v>
      </c>
      <c r="V772" s="152" t="str">
        <f>+VLOOKUP($L772,Data_Validation!$A:$D,4,0)</f>
        <v>Ventes Détails</v>
      </c>
      <c r="W772" s="152" t="str">
        <f>+VLOOKUP($L772,Data_Validation!$A:$E,5,0)</f>
        <v>nb</v>
      </c>
    </row>
    <row r="773" spans="1:23" ht="15.75" customHeight="1">
      <c r="A773" s="655" t="s">
        <v>1597</v>
      </c>
      <c r="B773" s="655" t="s">
        <v>1598</v>
      </c>
      <c r="C773" s="656"/>
      <c r="D773" s="656"/>
      <c r="E773" s="656"/>
      <c r="F773" s="655" t="s">
        <v>4</v>
      </c>
      <c r="G773" s="655" t="s">
        <v>1167</v>
      </c>
      <c r="H773" s="153" t="s">
        <v>2997</v>
      </c>
      <c r="I773" s="153">
        <v>-1013</v>
      </c>
      <c r="J773" s="153">
        <v>-72</v>
      </c>
      <c r="K773" s="153">
        <v>-1085</v>
      </c>
      <c r="L773" s="149" t="str">
        <f t="shared" si="60"/>
        <v>475A@</v>
      </c>
      <c r="M773" s="150" t="str">
        <f t="shared" si="61"/>
        <v># DE VTE - PIECES GROS BMW AUTO</v>
      </c>
      <c r="N773" s="151">
        <f>+IF(OR($Q773=Parametres!$G$2,$Q773=Parametres!$G$3),I773,C773)</f>
        <v>-1013</v>
      </c>
      <c r="O773" s="151">
        <f>+IF(OR($Q773=Parametres!$G$2,$Q773=Parametres!$G$3),J773,D773)</f>
        <v>-72</v>
      </c>
      <c r="P773" s="151">
        <f>+IF(OR($Q773=Parametres!$G$2,$Q773=Parametres!$G$3),K773,E773)</f>
        <v>-1085</v>
      </c>
      <c r="Q773" s="150" t="str">
        <f t="shared" si="62"/>
        <v>10-Compte compteur</v>
      </c>
      <c r="R773" s="149" t="str">
        <f t="shared" si="63"/>
        <v>475A</v>
      </c>
      <c r="S773" s="150" t="str">
        <f t="shared" si="64"/>
        <v>_</v>
      </c>
      <c r="T773" s="152" t="str">
        <f>+VLOOKUP($L773,Data_Validation!$A:$D,1,0)</f>
        <v>475A@</v>
      </c>
      <c r="U773" s="152" t="str">
        <f>+VLOOKUP($L773,Data_Validation!$A:$D,3,0)</f>
        <v>pièces</v>
      </c>
      <c r="V773" s="152" t="str">
        <f>+VLOOKUP($L773,Data_Validation!$A:$D,4,0)</f>
        <v>Ventes de Gros</v>
      </c>
      <c r="W773" s="152" t="str">
        <f>+VLOOKUP($L773,Data_Validation!$A:$E,5,0)</f>
        <v>nb</v>
      </c>
    </row>
    <row r="774" spans="1:23" ht="15.75" customHeight="1">
      <c r="A774" s="655" t="s">
        <v>1599</v>
      </c>
      <c r="B774" s="655" t="s">
        <v>758</v>
      </c>
      <c r="C774" s="656"/>
      <c r="D774" s="656"/>
      <c r="E774" s="656"/>
      <c r="F774" s="655" t="s">
        <v>4</v>
      </c>
      <c r="G774" s="655" t="s">
        <v>637</v>
      </c>
      <c r="H774" s="153" t="s">
        <v>2997</v>
      </c>
      <c r="I774" s="153">
        <v>-1</v>
      </c>
      <c r="J774" s="153">
        <v>0</v>
      </c>
      <c r="K774" s="153">
        <v>-1</v>
      </c>
      <c r="L774" s="149" t="str">
        <f t="shared" si="60"/>
        <v>480@</v>
      </c>
      <c r="M774" s="150" t="str">
        <f t="shared" si="61"/>
        <v># OF VTES -VTES - X7 XDR 40I</v>
      </c>
      <c r="N774" s="151">
        <f>+IF(OR($Q774=Parametres!$G$2,$Q774=Parametres!$G$3),I774,C774)</f>
        <v>-1</v>
      </c>
      <c r="O774" s="151">
        <f>+IF(OR($Q774=Parametres!$G$2,$Q774=Parametres!$G$3),J774,D774)</f>
        <v>0</v>
      </c>
      <c r="P774" s="151">
        <f>+IF(OR($Q774=Parametres!$G$2,$Q774=Parametres!$G$3),K774,E774)</f>
        <v>-1</v>
      </c>
      <c r="Q774" s="150" t="str">
        <f t="shared" si="62"/>
        <v>10-Compte compteur</v>
      </c>
      <c r="R774" s="149" t="str">
        <f t="shared" si="63"/>
        <v>480</v>
      </c>
      <c r="S774" s="150" t="str">
        <f t="shared" si="64"/>
        <v>_</v>
      </c>
      <c r="T774" s="152" t="str">
        <f>+VLOOKUP($L774,Data_Validation!$A:$D,1,0)</f>
        <v>480@</v>
      </c>
      <c r="U774" s="152" t="str">
        <f>+VLOOKUP($L774,Data_Validation!$A:$D,3,0)</f>
        <v>Véhicules neufs</v>
      </c>
      <c r="V774" s="152" t="str">
        <f>+VLOOKUP($L774,Data_Validation!$A:$D,4,0)</f>
        <v>Camions détail</v>
      </c>
      <c r="W774" s="152" t="str">
        <f>+VLOOKUP($L774,Data_Validation!$A:$E,5,0)</f>
        <v>nb</v>
      </c>
    </row>
    <row r="775" spans="1:23" ht="15.75" customHeight="1">
      <c r="A775" s="655" t="s">
        <v>2523</v>
      </c>
      <c r="B775" s="655" t="s">
        <v>2524</v>
      </c>
      <c r="C775" s="656"/>
      <c r="D775" s="656"/>
      <c r="E775" s="656"/>
      <c r="F775" s="655" t="s">
        <v>4</v>
      </c>
      <c r="G775" s="655" t="s">
        <v>2517</v>
      </c>
      <c r="H775" s="153" t="s">
        <v>2997</v>
      </c>
      <c r="I775" s="153">
        <v>-1</v>
      </c>
      <c r="J775" s="153">
        <v>0</v>
      </c>
      <c r="K775" s="153">
        <v>-1</v>
      </c>
      <c r="L775" s="149" t="str">
        <f t="shared" si="60"/>
        <v>480C@</v>
      </c>
      <c r="M775" s="150" t="str">
        <f t="shared" si="61"/>
        <v># DE VTE - X7 M60i</v>
      </c>
      <c r="N775" s="151">
        <f>+IF(OR($Q775=Parametres!$G$2,$Q775=Parametres!$G$3),I775,C775)</f>
        <v>-1</v>
      </c>
      <c r="O775" s="151">
        <f>+IF(OR($Q775=Parametres!$G$2,$Q775=Parametres!$G$3),J775,D775)</f>
        <v>0</v>
      </c>
      <c r="P775" s="151">
        <f>+IF(OR($Q775=Parametres!$G$2,$Q775=Parametres!$G$3),K775,E775)</f>
        <v>-1</v>
      </c>
      <c r="Q775" s="150" t="str">
        <f t="shared" si="62"/>
        <v>10-Compte compteur</v>
      </c>
      <c r="R775" s="149" t="str">
        <f t="shared" si="63"/>
        <v>480C</v>
      </c>
      <c r="S775" s="150" t="str">
        <f t="shared" si="64"/>
        <v>_</v>
      </c>
      <c r="T775" s="152" t="str">
        <f>+VLOOKUP($L775,Data_Validation!$A:$D,1,0)</f>
        <v>480C@</v>
      </c>
      <c r="U775" s="152" t="str">
        <f>+VLOOKUP($L775,Data_Validation!$A:$D,3,0)</f>
        <v>Véhicules neufs</v>
      </c>
      <c r="V775" s="152" t="str">
        <f>+VLOOKUP($L775,Data_Validation!$A:$D,4,0)</f>
        <v>Camions détail</v>
      </c>
      <c r="W775" s="152" t="str">
        <f>+VLOOKUP($L775,Data_Validation!$A:$E,5,0)</f>
        <v>NB</v>
      </c>
    </row>
    <row r="776" spans="1:23" ht="15.75" customHeight="1">
      <c r="A776" s="655" t="s">
        <v>1600</v>
      </c>
      <c r="B776" s="655" t="s">
        <v>761</v>
      </c>
      <c r="C776" s="656"/>
      <c r="D776" s="656"/>
      <c r="E776" s="656"/>
      <c r="F776" s="655" t="s">
        <v>4</v>
      </c>
      <c r="G776" s="655" t="s">
        <v>417</v>
      </c>
      <c r="H776" s="153" t="s">
        <v>2997</v>
      </c>
      <c r="I776" s="153">
        <v>-2144</v>
      </c>
      <c r="J776" s="153">
        <v>-463</v>
      </c>
      <c r="K776" s="153">
        <v>-2607</v>
      </c>
      <c r="L776" s="149" t="str">
        <f t="shared" si="60"/>
        <v>488A@</v>
      </c>
      <c r="M776" s="150" t="str">
        <f t="shared" si="61"/>
        <v># DE VTE - PNEUS</v>
      </c>
      <c r="N776" s="151">
        <f>+IF(OR($Q776=Parametres!$G$2,$Q776=Parametres!$G$3),I776,C776)</f>
        <v>-2144</v>
      </c>
      <c r="O776" s="151">
        <f>+IF(OR($Q776=Parametres!$G$2,$Q776=Parametres!$G$3),J776,D776)</f>
        <v>-463</v>
      </c>
      <c r="P776" s="151">
        <f>+IF(OR($Q776=Parametres!$G$2,$Q776=Parametres!$G$3),K776,E776)</f>
        <v>-2607</v>
      </c>
      <c r="Q776" s="150" t="str">
        <f t="shared" si="62"/>
        <v>10-Compte compteur</v>
      </c>
      <c r="R776" s="149" t="str">
        <f t="shared" si="63"/>
        <v>488A</v>
      </c>
      <c r="S776" s="150" t="str">
        <f t="shared" si="64"/>
        <v>_</v>
      </c>
      <c r="T776" s="152" t="str">
        <f>+VLOOKUP($L776,Data_Validation!$A:$D,1,0)</f>
        <v>488A@</v>
      </c>
      <c r="U776" s="152" t="str">
        <f>+VLOOKUP($L776,Data_Validation!$A:$D,3,0)</f>
        <v>pièces</v>
      </c>
      <c r="V776" s="152" t="str">
        <f>+VLOOKUP($L776,Data_Validation!$A:$D,4,0)</f>
        <v>Ventes Pneus</v>
      </c>
      <c r="W776" s="152" t="str">
        <f>+VLOOKUP($L776,Data_Validation!$A:$E,5,0)</f>
        <v>nb</v>
      </c>
    </row>
    <row r="777" spans="1:23" ht="15.75" customHeight="1">
      <c r="A777" s="655" t="s">
        <v>1601</v>
      </c>
      <c r="B777" s="655" t="s">
        <v>762</v>
      </c>
      <c r="C777" s="656"/>
      <c r="D777" s="656"/>
      <c r="E777" s="656"/>
      <c r="F777" s="655" t="s">
        <v>4</v>
      </c>
      <c r="G777" s="655" t="s">
        <v>445</v>
      </c>
      <c r="H777" s="153" t="s">
        <v>2997</v>
      </c>
      <c r="I777" s="153">
        <v>-779</v>
      </c>
      <c r="J777" s="153">
        <v>-72</v>
      </c>
      <c r="K777" s="153">
        <v>-851</v>
      </c>
      <c r="L777" s="149" t="str">
        <f t="shared" si="60"/>
        <v>489A@</v>
      </c>
      <c r="M777" s="150" t="str">
        <f t="shared" si="61"/>
        <v># DE VTE - HUILES &amp; GRAISSES</v>
      </c>
      <c r="N777" s="151">
        <f>+IF(OR($Q777=Parametres!$G$2,$Q777=Parametres!$G$3),I777,C777)</f>
        <v>-779</v>
      </c>
      <c r="O777" s="151">
        <f>+IF(OR($Q777=Parametres!$G$2,$Q777=Parametres!$G$3),J777,D777)</f>
        <v>-72</v>
      </c>
      <c r="P777" s="151">
        <f>+IF(OR($Q777=Parametres!$G$2,$Q777=Parametres!$G$3),K777,E777)</f>
        <v>-851</v>
      </c>
      <c r="Q777" s="150" t="str">
        <f t="shared" si="62"/>
        <v>10-Compte compteur</v>
      </c>
      <c r="R777" s="149" t="str">
        <f t="shared" si="63"/>
        <v>489A</v>
      </c>
      <c r="S777" s="150" t="str">
        <f t="shared" si="64"/>
        <v>_</v>
      </c>
      <c r="T777" s="152" t="str">
        <f>+VLOOKUP($L777,Data_Validation!$A:$D,1,0)</f>
        <v>489A@</v>
      </c>
      <c r="U777" s="152" t="str">
        <f>+VLOOKUP($L777,Data_Validation!$A:$D,3,0)</f>
        <v>pièces</v>
      </c>
      <c r="V777" s="152" t="str">
        <f>+VLOOKUP($L777,Data_Validation!$A:$D,4,0)</f>
        <v>Huiles et Graisse</v>
      </c>
      <c r="W777" s="152" t="str">
        <f>+VLOOKUP($L777,Data_Validation!$A:$E,5,0)</f>
        <v>nb</v>
      </c>
    </row>
    <row r="778" spans="1:23" ht="15.75" customHeight="1">
      <c r="A778" s="655" t="s">
        <v>1602</v>
      </c>
      <c r="B778" s="655" t="s">
        <v>1603</v>
      </c>
      <c r="C778" s="656"/>
      <c r="D778" s="656"/>
      <c r="E778" s="656"/>
      <c r="F778" s="655" t="s">
        <v>4</v>
      </c>
      <c r="G778" s="655" t="s">
        <v>445</v>
      </c>
      <c r="H778" s="153" t="s">
        <v>2997</v>
      </c>
      <c r="I778" s="153">
        <v>-970</v>
      </c>
      <c r="J778" s="153">
        <v>-114</v>
      </c>
      <c r="K778" s="153">
        <v>-1084</v>
      </c>
      <c r="L778" s="149" t="str">
        <f t="shared" si="60"/>
        <v>489B@</v>
      </c>
      <c r="M778" s="150" t="str">
        <f t="shared" si="61"/>
        <v># DE VTE - HUILE &amp; GRAISSE</v>
      </c>
      <c r="N778" s="151">
        <f>+IF(OR($Q778=Parametres!$G$2,$Q778=Parametres!$G$3),I778,C778)</f>
        <v>-970</v>
      </c>
      <c r="O778" s="151">
        <f>+IF(OR($Q778=Parametres!$G$2,$Q778=Parametres!$G$3),J778,D778)</f>
        <v>-114</v>
      </c>
      <c r="P778" s="151">
        <f>+IF(OR($Q778=Parametres!$G$2,$Q778=Parametres!$G$3),K778,E778)</f>
        <v>-1084</v>
      </c>
      <c r="Q778" s="150" t="str">
        <f t="shared" si="62"/>
        <v>10-Compte compteur</v>
      </c>
      <c r="R778" s="149" t="str">
        <f t="shared" si="63"/>
        <v>489A</v>
      </c>
      <c r="S778" s="150" t="str">
        <f t="shared" si="64"/>
        <v>_</v>
      </c>
      <c r="T778" s="152" t="str">
        <f>+VLOOKUP($L778,Data_Validation!$A:$D,1,0)</f>
        <v>489B@</v>
      </c>
      <c r="U778" s="152" t="str">
        <f>+VLOOKUP($L778,Data_Validation!$A:$D,3,0)</f>
        <v>pièces</v>
      </c>
      <c r="V778" s="152" t="str">
        <f>+VLOOKUP($L778,Data_Validation!$A:$D,4,0)</f>
        <v>Huiles et Graisse</v>
      </c>
      <c r="W778" s="152" t="str">
        <f>+VLOOKUP($L778,Data_Validation!$A:$E,5,0)</f>
        <v>nb</v>
      </c>
    </row>
    <row r="779" spans="1:23" ht="15.75" customHeight="1">
      <c r="A779" s="655" t="s">
        <v>1604</v>
      </c>
      <c r="B779" s="655" t="s">
        <v>763</v>
      </c>
      <c r="C779" s="656"/>
      <c r="D779" s="656"/>
      <c r="E779" s="656"/>
      <c r="F779" s="655" t="s">
        <v>4</v>
      </c>
      <c r="G779" s="655" t="s">
        <v>365</v>
      </c>
      <c r="H779" s="153" t="s">
        <v>2997</v>
      </c>
      <c r="I779" s="153">
        <v>-2</v>
      </c>
      <c r="J779" s="153">
        <v>0</v>
      </c>
      <c r="K779" s="153">
        <v>-2</v>
      </c>
      <c r="L779" s="149" t="str">
        <f t="shared" si="60"/>
        <v>493@</v>
      </c>
      <c r="M779" s="150" t="str">
        <f t="shared" si="61"/>
        <v># DE VTE - M/O CARROSERIE BMW</v>
      </c>
      <c r="N779" s="151">
        <f>+IF(OR($Q779=Parametres!$G$2,$Q779=Parametres!$G$3),I779,C779)</f>
        <v>-2</v>
      </c>
      <c r="O779" s="151">
        <f>+IF(OR($Q779=Parametres!$G$2,$Q779=Parametres!$G$3),J779,D779)</f>
        <v>0</v>
      </c>
      <c r="P779" s="151">
        <f>+IF(OR($Q779=Parametres!$G$2,$Q779=Parametres!$G$3),K779,E779)</f>
        <v>-2</v>
      </c>
      <c r="Q779" s="150" t="str">
        <f t="shared" si="62"/>
        <v>10-Compte compteur</v>
      </c>
      <c r="R779" s="149" t="str">
        <f t="shared" si="63"/>
        <v>493</v>
      </c>
      <c r="S779" s="150" t="str">
        <f t="shared" si="64"/>
        <v>_</v>
      </c>
      <c r="T779" s="152" t="str">
        <f>+VLOOKUP($L779,Data_Validation!$A:$D,1,0)</f>
        <v>493@</v>
      </c>
      <c r="U779" s="152" t="str">
        <f>+VLOOKUP($L779,Data_Validation!$A:$D,3,0)</f>
        <v>carrosserie</v>
      </c>
      <c r="V779" s="152" t="str">
        <f>+VLOOKUP($L779,Data_Validation!$A:$D,4,0)</f>
        <v>M/O Sous-traitement</v>
      </c>
      <c r="W779" s="152" t="str">
        <f>+VLOOKUP($L779,Data_Validation!$A:$E,5,0)</f>
        <v>nb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" activePane="bottomLeft" state="frozen"/>
      <selection pane="bottomLeft" activeCell="D1075" sqref="D107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hidden="1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hidden="1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hidden="1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hidden="1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hidden="1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hidden="1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hidden="1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hidden="1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hidden="1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5" t="s">
        <v>163</v>
      </c>
    </row>
    <row r="11" spans="1:13" ht="15" hidden="1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str">
        <f>+VLOOKUP(Table_1[[#This Row],[Account]],BV_Data_An_Cour!$L:$Q,6,0)</f>
        <v>1-Mémo</v>
      </c>
      <c r="H11" s="187"/>
      <c r="I11" s="161"/>
      <c r="K11" s="161" t="s">
        <v>275</v>
      </c>
      <c r="M11" s="544" t="s">
        <v>292</v>
      </c>
    </row>
    <row r="12" spans="1:13" ht="15" hidden="1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hidden="1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hidden="1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hidden="1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9" t="s">
        <v>309</v>
      </c>
    </row>
    <row r="16" spans="1:13" ht="15" hidden="1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hidden="1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hidden="1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hidden="1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hidden="1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hidden="1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hidden="1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hidden="1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hidden="1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hidden="1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str">
        <f>+VLOOKUP(Table_1[[#This Row],[Account]],BV_Data_An_Cour!$L:$Q,6,0)</f>
        <v>1-Mémo</v>
      </c>
      <c r="H25" s="187"/>
      <c r="K25" s="161" t="s">
        <v>183</v>
      </c>
    </row>
    <row r="26" spans="1:13" ht="15" hidden="1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hidden="1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str">
        <f>+VLOOKUP(Table_1[[#This Row],[Account]],BV_Data_An_Cour!$L:$Q,6,0)</f>
        <v>1-Mémo</v>
      </c>
      <c r="H27" s="187"/>
      <c r="K27" s="161" t="s">
        <v>67</v>
      </c>
    </row>
    <row r="28" spans="1:13" ht="15" hidden="1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hidden="1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hidden="1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hidden="1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hidden="1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hidden="1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hidden="1" customHeight="1">
      <c r="A34" s="476" t="s">
        <v>2114</v>
      </c>
      <c r="B34" s="483" t="s">
        <v>2113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hidden="1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hidden="1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hidden="1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hidden="1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hidden="1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hidden="1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hidden="1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hidden="1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hidden="1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hidden="1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hidden="1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hidden="1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hidden="1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hidden="1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hidden="1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str">
        <f>+VLOOKUP(Table_1[[#This Row],[Account]],BV_Data_An_Cour!$L:$Q,6,0)</f>
        <v>1-Mémo</v>
      </c>
      <c r="H49" s="187"/>
      <c r="K49" s="161" t="s">
        <v>57</v>
      </c>
    </row>
    <row r="50" spans="1:11" ht="15" hidden="1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hidden="1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hidden="1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hidden="1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hidden="1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hidden="1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hidden="1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hidden="1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hidden="1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hidden="1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hidden="1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hidden="1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hidden="1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hidden="1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hidden="1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hidden="1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hidden="1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hidden="1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hidden="1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hidden="1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str">
        <f>+VLOOKUP(Table_1[[#This Row],[Account]],BV_Data_An_Cour!$L:$Q,6,0)</f>
        <v>1-Mémo</v>
      </c>
      <c r="H69" s="187"/>
      <c r="K69" s="161" t="str">
        <f>Print_Mois!V459</f>
        <v>Honoraires</v>
      </c>
    </row>
    <row r="70" spans="1:11" ht="15" hidden="1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hidden="1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hidden="1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hidden="1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hidden="1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hidden="1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hidden="1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hidden="1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hidden="1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hidden="1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hidden="1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hidden="1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hidden="1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hidden="1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hidden="1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hidden="1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hidden="1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hidden="1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hidden="1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hidden="1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hidden="1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hidden="1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hidden="1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hidden="1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hidden="1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hidden="1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hidden="1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hidden="1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hidden="1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hidden="1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hidden="1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hidden="1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hidden="1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hidden="1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hidden="1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hidden="1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hidden="1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hidden="1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hidden="1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hidden="1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hidden="1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hidden="1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hidden="1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hidden="1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hidden="1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hidden="1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hidden="1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hidden="1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hidden="1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hidden="1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hidden="1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hidden="1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hidden="1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hidden="1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hidden="1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hidden="1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hidden="1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hidden="1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hidden="1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hidden="1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hidden="1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hidden="1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hidden="1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hidden="1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hidden="1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hidden="1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hidden="1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hidden="1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hidden="1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hidden="1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hidden="1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hidden="1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hidden="1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hidden="1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hidden="1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hidden="1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hidden="1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hidden="1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hidden="1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hidden="1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hidden="1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hidden="1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hidden="1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hidden="1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hidden="1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hidden="1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hidden="1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hidden="1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hidden="1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hidden="1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hidden="1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hidden="1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hidden="1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hidden="1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hidden="1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hidden="1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hidden="1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hidden="1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hidden="1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hidden="1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hidden="1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hidden="1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hidden="1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hidden="1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hidden="1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hidden="1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hidden="1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hidden="1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hidden="1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hidden="1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hidden="1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hidden="1" customHeight="1">
      <c r="A182" s="1212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hidden="1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hidden="1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hidden="1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hidden="1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hidden="1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hidden="1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hidden="1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hidden="1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hidden="1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hidden="1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hidden="1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hidden="1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hidden="1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hidden="1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hidden="1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hidden="1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hidden="1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hidden="1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hidden="1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hidden="1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hidden="1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hidden="1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hidden="1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hidden="1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hidden="1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hidden="1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hidden="1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hidden="1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hidden="1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hidden="1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hidden="1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hidden="1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hidden="1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hidden="1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hidden="1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hidden="1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hidden="1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hidden="1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hidden="1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hidden="1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hidden="1" customHeight="1">
      <c r="A223" s="1193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hidden="1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hidden="1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hidden="1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hidden="1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hidden="1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hidden="1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hidden="1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hidden="1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hidden="1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hidden="1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hidden="1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e">
        <f>+VLOOKUP(Table_1[[#This Row],[Account]],BV_Data_An_Cour!$L:$Q,6,0)</f>
        <v>#N/A</v>
      </c>
      <c r="H235" s="2"/>
    </row>
    <row r="236" spans="1:8" ht="15" hidden="1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hidden="1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hidden="1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hidden="1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hidden="1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hidden="1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hidden="1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hidden="1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hidden="1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hidden="1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hidden="1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hidden="1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hidden="1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hidden="1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hidden="1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hidden="1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hidden="1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hidden="1" customHeight="1">
      <c r="A253" s="1203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hidden="1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hidden="1" customHeight="1">
      <c r="A255" s="1203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hidden="1" customHeight="1">
      <c r="A256" s="1203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hidden="1" customHeight="1">
      <c r="A257" s="1203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hidden="1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hidden="1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hidden="1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hidden="1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hidden="1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hidden="1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hidden="1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hidden="1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hidden="1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hidden="1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hidden="1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hidden="1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hidden="1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hidden="1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hidden="1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hidden="1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hidden="1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e">
        <f>+VLOOKUP(Table_1[[#This Row],[Account]],BV_Data_An_Cour!$L:$Q,6,0)</f>
        <v>#N/A</v>
      </c>
      <c r="H274" s="2"/>
    </row>
    <row r="275" spans="1:8" ht="15" hidden="1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hidden="1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hidden="1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hidden="1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hidden="1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hidden="1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hidden="1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hidden="1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hidden="1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hidden="1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hidden="1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hidden="1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e">
        <f>+VLOOKUP(Table_1[[#This Row],[Account]],BV_Data_An_Cour!$L:$Q,6,0)</f>
        <v>#N/A</v>
      </c>
      <c r="H286" s="2"/>
    </row>
    <row r="287" spans="1:8" ht="15" hidden="1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hidden="1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hidden="1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hidden="1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hidden="1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hidden="1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hidden="1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hidden="1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hidden="1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hidden="1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e">
        <f>+VLOOKUP(Table_1[[#This Row],[Account]],BV_Data_An_Cour!$L:$Q,6,0)</f>
        <v>#N/A</v>
      </c>
      <c r="H296" s="2"/>
    </row>
    <row r="297" spans="1:8" ht="15" hidden="1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hidden="1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hidden="1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hidden="1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hidden="1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hidden="1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hidden="1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hidden="1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hidden="1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hidden="1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hidden="1" customHeight="1">
      <c r="A307" s="1199" t="s">
        <v>2428</v>
      </c>
      <c r="B307" s="1207" t="s">
        <v>2427</v>
      </c>
      <c r="C307" s="159" t="s">
        <v>272</v>
      </c>
      <c r="D307" s="1210" t="s">
        <v>20</v>
      </c>
      <c r="E307" s="493"/>
      <c r="F307" s="160"/>
      <c r="G307" s="493"/>
      <c r="H307" s="2"/>
    </row>
    <row r="308" spans="1:8" ht="15" hidden="1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hidden="1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e">
        <f>+VLOOKUP(Table_1[[#This Row],[Account]],BV_Data_An_Cour!$L:$Q,6,0)</f>
        <v>#N/A</v>
      </c>
      <c r="H309" s="2"/>
    </row>
    <row r="310" spans="1:8" ht="15" hidden="1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e">
        <f>+VLOOKUP(Table_1[[#This Row],[Account]],BV_Data_An_Cour!$L:$Q,6,0)</f>
        <v>#N/A</v>
      </c>
      <c r="H310" s="2"/>
    </row>
    <row r="311" spans="1:8" ht="15" hidden="1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hidden="1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hidden="1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hidden="1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hidden="1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hidden="1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hidden="1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hidden="1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hidden="1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hidden="1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hidden="1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hidden="1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hidden="1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hidden="1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hidden="1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hidden="1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hidden="1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hidden="1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hidden="1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hidden="1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hidden="1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hidden="1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hidden="1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hidden="1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hidden="1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hidden="1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hidden="1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hidden="1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hidden="1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hidden="1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hidden="1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hidden="1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hidden="1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hidden="1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hidden="1" customHeight="1">
      <c r="A345" s="162" t="s">
        <v>2992</v>
      </c>
      <c r="B345" s="158" t="s">
        <v>2991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hidden="1" customHeight="1">
      <c r="A346" s="162" t="s">
        <v>2994</v>
      </c>
      <c r="B346" s="158" t="s">
        <v>2991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hidden="1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hidden="1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hidden="1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hidden="1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hidden="1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hidden="1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hidden="1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hidden="1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hidden="1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hidden="1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hidden="1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hidden="1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hidden="1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hidden="1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hidden="1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hidden="1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hidden="1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hidden="1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hidden="1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hidden="1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hidden="1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str">
        <f>+VLOOKUP(Table_1[[#This Row],[Account]],BV_Data_An_Cour!$L:$Q,6,0)</f>
        <v>5-Ventes</v>
      </c>
      <c r="H367" s="2"/>
    </row>
    <row r="368" spans="1:8" ht="15" hidden="1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str">
        <f>+VLOOKUP(Table_1[[#This Row],[Account]],BV_Data_An_Cour!$L:$Q,6,0)</f>
        <v>10-Compte compteur</v>
      </c>
      <c r="H368" s="2"/>
    </row>
    <row r="369" spans="1:12" ht="15" hidden="1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str">
        <f>+VLOOKUP(Table_1[[#This Row],[Account]],BV_Data_An_Cour!$L:$Q,6,0)</f>
        <v>5-Ventes</v>
      </c>
      <c r="H369" s="2"/>
    </row>
    <row r="370" spans="1:12" ht="15" hidden="1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hidden="1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hidden="1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hidden="1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hidden="1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hidden="1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hidden="1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hidden="1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hidden="1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hidden="1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str">
        <f>+VLOOKUP(Table_1[[#This Row],[Account]],BV_Data_An_Cour!$L:$Q,6,0)</f>
        <v>5-Ventes</v>
      </c>
      <c r="H379" s="2"/>
    </row>
    <row r="380" spans="1:12" ht="15" hidden="1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str">
        <f>+VLOOKUP(Table_1[[#This Row],[Account]],BV_Data_An_Cour!$L:$Q,6,0)</f>
        <v>10-Compte compteur</v>
      </c>
      <c r="H380" s="2"/>
    </row>
    <row r="381" spans="1:12" ht="15" hidden="1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hidden="1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hidden="1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hidden="1" customHeight="1">
      <c r="A384" s="1195" t="s">
        <v>2383</v>
      </c>
      <c r="B384" s="1204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hidden="1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hidden="1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hidden="1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str">
        <f>+VLOOKUP(Table_1[[#This Row],[Account]],BV_Data_An_Cour!$L:$Q,6,0)</f>
        <v>5-Ventes</v>
      </c>
      <c r="H387" s="2"/>
    </row>
    <row r="388" spans="1:8" ht="15" hidden="1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hidden="1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hidden="1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hidden="1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hidden="1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hidden="1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hidden="1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hidden="1" customHeight="1">
      <c r="A395" s="479" t="s">
        <v>2965</v>
      </c>
      <c r="B395" s="480" t="s">
        <v>2964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hidden="1" customHeight="1">
      <c r="A396" s="479" t="s">
        <v>2967</v>
      </c>
      <c r="B396" s="480" t="s">
        <v>2964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hidden="1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str">
        <f>+VLOOKUP(Table_1[[#This Row],[Account]],BV_Data_An_Cour!$L:$Q,6,0)</f>
        <v>5-Ventes</v>
      </c>
      <c r="H397" s="2"/>
    </row>
    <row r="398" spans="1:8" ht="15" hidden="1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str">
        <f>+VLOOKUP(Table_1[[#This Row],[Account]],BV_Data_An_Cour!$L:$Q,6,0)</f>
        <v>10-Compte compteur</v>
      </c>
      <c r="H398" s="2"/>
    </row>
    <row r="399" spans="1:8" ht="15" hidden="1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hidden="1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hidden="1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hidden="1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hidden="1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hidden="1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hidden="1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hidden="1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hidden="1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hidden="1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hidden="1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hidden="1" customHeight="1">
      <c r="A410" s="1212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hidden="1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str">
        <f>+VLOOKUP(Table_1[[#This Row],[Account]],BV_Data_An_Cour!$L:$Q,6,0)</f>
        <v>5-Ventes</v>
      </c>
      <c r="H411" s="2"/>
    </row>
    <row r="412" spans="1:8" ht="15" hidden="1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str">
        <f>+VLOOKUP(Table_1[[#This Row],[Account]],BV_Data_An_Cour!$L:$Q,6,0)</f>
        <v>10-Compte compteur</v>
      </c>
      <c r="H412" s="2"/>
    </row>
    <row r="413" spans="1:8" ht="15" hidden="1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hidden="1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hidden="1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hidden="1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hidden="1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hidden="1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hidden="1" customHeight="1">
      <c r="A419" s="479" t="s">
        <v>2976</v>
      </c>
      <c r="B419" s="480" t="s">
        <v>2975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hidden="1" customHeight="1">
      <c r="A420" s="479" t="s">
        <v>2980</v>
      </c>
      <c r="B420" s="480" t="s">
        <v>2979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hidden="1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hidden="1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hidden="1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hidden="1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hidden="1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hidden="1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hidden="1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hidden="1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hidden="1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str">
        <f>+VLOOKUP(Table_1[[#This Row],[Account]],BV_Data_An_Cour!$L:$Q,6,0)</f>
        <v>5-Ventes</v>
      </c>
      <c r="H429" s="2"/>
    </row>
    <row r="430" spans="1:8" ht="15" hidden="1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str">
        <f>+VLOOKUP(Table_1[[#This Row],[Account]],BV_Data_An_Cour!$L:$Q,6,0)</f>
        <v>10-Compte compteur</v>
      </c>
      <c r="H430" s="2"/>
    </row>
    <row r="431" spans="1:8" ht="15" hidden="1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str">
        <f>+VLOOKUP(Table_1[[#This Row],[Account]],BV_Data_An_Cour!$L:$Q,6,0)</f>
        <v>5-Ventes</v>
      </c>
      <c r="H431" s="2"/>
    </row>
    <row r="432" spans="1:8" ht="15" hidden="1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str">
        <f>+VLOOKUP(Table_1[[#This Row],[Account]],BV_Data_An_Cour!$L:$Q,6,0)</f>
        <v>10-Compte compteur</v>
      </c>
      <c r="H432" s="2"/>
    </row>
    <row r="433" spans="1:8" ht="15" hidden="1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hidden="1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hidden="1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e">
        <f>+VLOOKUP(Table_1[[#This Row],[Account]],BV_Data_An_Cour!$L:$Q,6,0)</f>
        <v>#N/A</v>
      </c>
      <c r="H435" s="2"/>
    </row>
    <row r="436" spans="1:8" ht="15" hidden="1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e">
        <f>+VLOOKUP(Table_1[[#This Row],[Account]],BV_Data_An_Cour!$L:$Q,6,0)</f>
        <v>#N/A</v>
      </c>
      <c r="H436" s="2"/>
    </row>
    <row r="437" spans="1:8" ht="15" hidden="1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hidden="1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hidden="1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hidden="1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hidden="1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str">
        <f>+VLOOKUP(Table_1[[#This Row],[Account]],BV_Data_An_Cour!$L:$Q,6,0)</f>
        <v>5-Ventes</v>
      </c>
      <c r="H441" s="2"/>
    </row>
    <row r="442" spans="1:8" ht="15" hidden="1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str">
        <f>+VLOOKUP(Table_1[[#This Row],[Account]],BV_Data_An_Cour!$L:$Q,6,0)</f>
        <v>10-Compte compteur</v>
      </c>
      <c r="H442" s="2"/>
    </row>
    <row r="443" spans="1:8" ht="15" hidden="1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hidden="1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hidden="1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hidden="1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hidden="1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hidden="1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hidden="1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str">
        <f>+VLOOKUP(Table_1[[#This Row],[Account]],BV_Data_An_Cour!$L:$Q,6,0)</f>
        <v>5-Ventes</v>
      </c>
      <c r="H449" s="2"/>
    </row>
    <row r="450" spans="1:29" ht="15" hidden="1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str">
        <f>+VLOOKUP(Table_1[[#This Row],[Account]],BV_Data_An_Cour!$L:$Q,6,0)</f>
        <v>10-Compte compteur</v>
      </c>
      <c r="H450" s="2"/>
    </row>
    <row r="451" spans="1:29" ht="15" hidden="1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str">
        <f>+VLOOKUP(Table_1[[#This Row],[Account]],BV_Data_An_Cour!$L:$Q,6,0)</f>
        <v>5-Ventes</v>
      </c>
      <c r="H451" s="2"/>
    </row>
    <row r="452" spans="1:29" ht="15" hidden="1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str">
        <f>+VLOOKUP(Table_1[[#This Row],[Account]],BV_Data_An_Cour!$L:$Q,6,0)</f>
        <v>10-Compte compteur</v>
      </c>
      <c r="H452" s="2"/>
    </row>
    <row r="453" spans="1:29" ht="15" hidden="1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hidden="1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hidden="1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hidden="1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hidden="1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hidden="1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hidden="1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hidden="1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hidden="1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hidden="1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hidden="1" customHeight="1">
      <c r="A465" s="1200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hidden="1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hidden="1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hidden="1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hidden="1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hidden="1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hidden="1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e">
        <f>+VLOOKUP(Table_1[[#This Row],[Account]],BV_Data_An_Cour!$L:$Q,6,0)</f>
        <v>#N/A</v>
      </c>
      <c r="H471" s="2"/>
    </row>
    <row r="472" spans="1:29" ht="15" hidden="1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e">
        <f>+VLOOKUP(Table_1[[#This Row],[Account]],BV_Data_An_Cour!$L:$Q,6,0)</f>
        <v>#N/A</v>
      </c>
      <c r="H472" s="2"/>
    </row>
    <row r="473" spans="1:29" ht="15" hidden="1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hidden="1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str">
        <f>+VLOOKUP(Table_1[[#This Row],[Account]],BV_Data_An_Cour!$L:$Q,6,0)</f>
        <v>10-Compte compteur</v>
      </c>
      <c r="H474" s="2"/>
    </row>
    <row r="475" spans="1:29" ht="15" hidden="1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hidden="1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hidden="1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hidden="1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hidden="1" customHeight="1">
      <c r="A479" s="1214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hidden="1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hidden="1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hidden="1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hidden="1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hidden="1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hidden="1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hidden="1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hidden="1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hidden="1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str">
        <f>+VLOOKUP(Table_1[[#This Row],[Account]],BV_Data_An_Cour!$L:$Q,6,0)</f>
        <v>5-Ventes</v>
      </c>
      <c r="H488" s="2"/>
    </row>
    <row r="489" spans="1:29" ht="15" hidden="1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str">
        <f>+VLOOKUP(Table_1[[#This Row],[Account]],BV_Data_An_Cour!$L:$Q,6,0)</f>
        <v>10-Compte compteur</v>
      </c>
      <c r="H489" s="2"/>
    </row>
    <row r="490" spans="1:29" ht="15" hidden="1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str">
        <f>+VLOOKUP(Table_1[[#This Row],[Account]],BV_Data_An_Cour!$L:$Q,6,0)</f>
        <v>10-Compte compteur</v>
      </c>
      <c r="H491" s="2"/>
    </row>
    <row r="492" spans="1:29" ht="15" hidden="1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str">
        <f>+VLOOKUP(Table_1[[#This Row],[Account]],BV_Data_An_Cour!$L:$Q,6,0)</f>
        <v>5-Ventes</v>
      </c>
      <c r="H492" s="2"/>
    </row>
    <row r="493" spans="1:29" ht="15" hidden="1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str">
        <f>+VLOOKUP(Table_1[[#This Row],[Account]],BV_Data_An_Cour!$L:$Q,6,0)</f>
        <v>10-Compte compteur</v>
      </c>
      <c r="H493" s="2"/>
    </row>
    <row r="494" spans="1:29" ht="15" hidden="1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hidden="1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hidden="1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hidden="1" customHeight="1">
      <c r="A497" s="1197" t="s">
        <v>1520</v>
      </c>
      <c r="B497" s="1197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hidden="1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str">
        <f>+VLOOKUP(Table_1[[#This Row],[Account]],BV_Data_An_Cour!$L:$Q,6,0)</f>
        <v>5-Ventes</v>
      </c>
      <c r="H498" s="2"/>
    </row>
    <row r="499" spans="1:8" ht="15" hidden="1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str">
        <f>+VLOOKUP(Table_1[[#This Row],[Account]],BV_Data_An_Cour!$L:$Q,6,0)</f>
        <v>10-Compte compteur</v>
      </c>
      <c r="H499" s="2"/>
    </row>
    <row r="500" spans="1:8" ht="15" hidden="1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hidden="1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hidden="1" customHeight="1">
      <c r="A502" s="1196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hidden="1" customHeight="1">
      <c r="A503" s="162" t="s">
        <v>720</v>
      </c>
      <c r="B503" s="1218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hidden="1" customHeight="1">
      <c r="A504" s="149" t="s">
        <v>2080</v>
      </c>
      <c r="B504" s="1216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hidden="1" customHeight="1">
      <c r="A505" s="149" t="s">
        <v>2088</v>
      </c>
      <c r="B505" s="1219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hidden="1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hidden="1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hidden="1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hidden="1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hidden="1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str">
        <f>+VLOOKUP(Table_1[[#This Row],[Account]],BV_Data_An_Cour!$L:$Q,6,0)</f>
        <v>5-Ventes</v>
      </c>
      <c r="H510" s="2"/>
    </row>
    <row r="511" spans="1:8" ht="15" hidden="1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str">
        <f>+VLOOKUP(Table_1[[#This Row],[Account]],BV_Data_An_Cour!$L:$Q,6,0)</f>
        <v>10-Compte compteur</v>
      </c>
      <c r="H511" s="2"/>
    </row>
    <row r="512" spans="1:8" ht="15" hidden="1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hidden="1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hidden="1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str">
        <f>+VLOOKUP(Table_1[[#This Row],[Account]],BV_Data_An_Cour!$L:$Q,6,0)</f>
        <v>5-Ventes</v>
      </c>
      <c r="H514" s="2"/>
    </row>
    <row r="515" spans="1:11" ht="15" hidden="1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str">
        <f>+VLOOKUP(Table_1[[#This Row],[Account]],BV_Data_An_Cour!$L:$Q,6,0)</f>
        <v>10-Compte compteur</v>
      </c>
      <c r="H515" s="2"/>
    </row>
    <row r="516" spans="1:11" ht="15" hidden="1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str">
        <f>+VLOOKUP(Table_1[[#This Row],[Account]],BV_Data_An_Cour!$L:$Q,6,0)</f>
        <v>5-Ventes</v>
      </c>
      <c r="H516" s="2"/>
    </row>
    <row r="517" spans="1:11" ht="15" hidden="1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hidden="1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str">
        <f>+VLOOKUP(Table_1[[#This Row],[Account]],BV_Data_An_Cour!$L:$Q,6,0)</f>
        <v>5-Ventes</v>
      </c>
      <c r="H518" s="2"/>
    </row>
    <row r="519" spans="1:11" ht="15" hidden="1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str">
        <f>+VLOOKUP(Table_1[[#This Row],[Account]],BV_Data_An_Cour!$L:$Q,6,0)</f>
        <v>10-Compte compteur</v>
      </c>
      <c r="H519" s="2"/>
    </row>
    <row r="520" spans="1:11" ht="15" hidden="1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str">
        <f>+VLOOKUP(Table_1[[#This Row],[Account]],BV_Data_An_Cour!$L:$Q,6,0)</f>
        <v>5-Ventes</v>
      </c>
      <c r="H520" s="2"/>
    </row>
    <row r="521" spans="1:11" ht="15" hidden="1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str">
        <f>+VLOOKUP(Table_1[[#This Row],[Account]],BV_Data_An_Cour!$L:$Q,6,0)</f>
        <v>10-Compte compteur</v>
      </c>
      <c r="H521" s="2"/>
    </row>
    <row r="522" spans="1:11" ht="15" hidden="1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hidden="1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hidden="1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hidden="1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hidden="1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hidden="1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hidden="1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hidden="1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hidden="1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str">
        <f>+VLOOKUP(Table_1[[#This Row],[Account]],BV_Data_An_Cour!$L:$Q,6,0)</f>
        <v>5-Ventes</v>
      </c>
      <c r="H530" s="2"/>
      <c r="K530" s="2"/>
    </row>
    <row r="531" spans="1:11" ht="15" hidden="1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str">
        <f>+VLOOKUP(Table_1[[#This Row],[Account]],BV_Data_An_Cour!$L:$Q,6,0)</f>
        <v>10-Compte compteur</v>
      </c>
      <c r="H531" s="2"/>
    </row>
    <row r="532" spans="1:11" ht="15" hidden="1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hidden="1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hidden="1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hidden="1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hidden="1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hidden="1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hidden="1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str">
        <f>+VLOOKUP(Table_1[[#This Row],[Account]],BV_Data_An_Cour!$L:$Q,6,0)</f>
        <v>5-Ventes</v>
      </c>
      <c r="H538" s="2"/>
    </row>
    <row r="539" spans="1:11" ht="15" hidden="1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str">
        <f>+VLOOKUP(Table_1[[#This Row],[Account]],BV_Data_An_Cour!$L:$Q,6,0)</f>
        <v>10-Compte compteur</v>
      </c>
      <c r="H539" s="2"/>
    </row>
    <row r="540" spans="1:11" ht="15" hidden="1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hidden="1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hidden="1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hidden="1" customHeight="1">
      <c r="A543" s="1213" t="s">
        <v>1046</v>
      </c>
      <c r="B543" s="1217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hidden="1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hidden="1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hidden="1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hidden="1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hidden="1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hidden="1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hidden="1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hidden="1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hidden="1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str">
        <f>+VLOOKUP(Table_1[[#This Row],[Account]],BV_Data_An_Cour!$L:$Q,6,0)</f>
        <v>5-Ventes</v>
      </c>
      <c r="H552" s="2"/>
    </row>
    <row r="553" spans="1:8" ht="15" hidden="1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hidden="1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hidden="1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hidden="1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str">
        <f>+VLOOKUP(Table_1[[#This Row],[Account]],BV_Data_An_Cour!$L:$Q,6,0)</f>
        <v>5-Ventes</v>
      </c>
      <c r="H556" s="2"/>
    </row>
    <row r="557" spans="1:8" ht="15" hidden="1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str">
        <f>+VLOOKUP(Table_1[[#This Row],[Account]],BV_Data_An_Cour!$L:$Q,6,0)</f>
        <v>10-Compte compteur</v>
      </c>
      <c r="H557" s="2"/>
    </row>
    <row r="558" spans="1:8" ht="15" hidden="1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hidden="1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hidden="1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str">
        <f>+VLOOKUP(Table_1[[#This Row],[Account]],BV_Data_An_Cour!$L:$Q,6,0)</f>
        <v>5-Ventes</v>
      </c>
      <c r="H560" s="2"/>
    </row>
    <row r="561" spans="1:29" ht="15" hidden="1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str">
        <f>+VLOOKUP(Table_1[[#This Row],[Account]],BV_Data_An_Cour!$L:$Q,6,0)</f>
        <v>10-Compte compteur</v>
      </c>
      <c r="H561" s="2"/>
    </row>
    <row r="562" spans="1:29" ht="15" hidden="1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str">
        <f>+VLOOKUP(Table_1[[#This Row],[Account]],BV_Data_An_Cour!$L:$Q,6,0)</f>
        <v>10-Compte compteur</v>
      </c>
      <c r="H563" s="2"/>
    </row>
    <row r="564" spans="1:29" ht="15" hidden="1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str">
        <f>+VLOOKUP(Table_1[[#This Row],[Account]],BV_Data_An_Cour!$L:$Q,6,0)</f>
        <v>5-Ventes</v>
      </c>
      <c r="H564" s="2"/>
    </row>
    <row r="565" spans="1:29" ht="15" hidden="1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str">
        <f>+VLOOKUP(Table_1[[#This Row],[Account]],BV_Data_An_Cour!$L:$Q,6,0)</f>
        <v>10-Compte compteur</v>
      </c>
      <c r="H565" s="2"/>
    </row>
    <row r="566" spans="1:29" ht="15" hidden="1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hidden="1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hidden="1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hidden="1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hidden="1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hidden="1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hidden="1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hidden="1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hidden="1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str">
        <f>+VLOOKUP(Table_1[[#This Row],[Account]],BV_Data_An_Cour!$L:$Q,6,0)</f>
        <v>5-Ventes</v>
      </c>
      <c r="H574" s="2"/>
    </row>
    <row r="575" spans="1:29" ht="15" hidden="1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hidden="1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hidden="1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hidden="1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str">
        <f>+VLOOKUP(Table_1[[#This Row],[Account]],BV_Data_An_Cour!$L:$Q,6,0)</f>
        <v>5-Ventes</v>
      </c>
      <c r="H578" s="2"/>
    </row>
    <row r="579" spans="1:8" ht="15" hidden="1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str">
        <f>+VLOOKUP(Table_1[[#This Row],[Account]],BV_Data_An_Cour!$L:$Q,6,0)</f>
        <v>10-Compte compteur</v>
      </c>
      <c r="H579" s="2"/>
    </row>
    <row r="580" spans="1:8" ht="15" hidden="1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str">
        <f>+VLOOKUP(Table_1[[#This Row],[Account]],BV_Data_An_Cour!$L:$Q,6,0)</f>
        <v>5-Ventes</v>
      </c>
      <c r="H580" s="2"/>
    </row>
    <row r="581" spans="1:8" ht="15" hidden="1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str">
        <f>+VLOOKUP(Table_1[[#This Row],[Account]],BV_Data_An_Cour!$L:$Q,6,0)</f>
        <v>10-Compte compteur</v>
      </c>
      <c r="H581" s="2"/>
    </row>
    <row r="582" spans="1:8" ht="15" hidden="1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hidden="1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str">
        <f>+VLOOKUP(Table_1[[#This Row],[Account]],BV_Data_An_Cour!$L:$Q,6,0)</f>
        <v>10-Compte compteur</v>
      </c>
      <c r="H583" s="2"/>
    </row>
    <row r="584" spans="1:8" ht="15" hidden="1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str">
        <f>+VLOOKUP(Table_1[[#This Row],[Account]],BV_Data_An_Cour!$L:$Q,6,0)</f>
        <v>5-Ventes</v>
      </c>
      <c r="H584" s="2"/>
    </row>
    <row r="585" spans="1:8" ht="15" hidden="1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str">
        <f>+VLOOKUP(Table_1[[#This Row],[Account]],BV_Data_An_Cour!$L:$Q,6,0)</f>
        <v>10-Compte compteur</v>
      </c>
      <c r="H585" s="2"/>
    </row>
    <row r="586" spans="1:8" ht="15" hidden="1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hidden="1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hidden="1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hidden="1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hidden="1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hidden="1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hidden="1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hidden="1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hidden="1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hidden="1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hidden="1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hidden="1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hidden="1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hidden="1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hidden="1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hidden="1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hidden="1" customHeight="1">
      <c r="A603" s="162" t="s">
        <v>2969</v>
      </c>
      <c r="B603" s="158" t="s">
        <v>2968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hidden="1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hidden="1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str">
        <f>+VLOOKUP(Table_1[[#This Row],[Account]],BV_Data_An_Cour!$L:$Q,6,0)</f>
        <v>5-Ventes</v>
      </c>
      <c r="H605" s="2"/>
    </row>
    <row r="606" spans="1:29" ht="15" hidden="1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str">
        <f>+VLOOKUP(Table_1[[#This Row],[Account]],BV_Data_An_Cour!$L:$Q,6,0)</f>
        <v>10-Compte compteur</v>
      </c>
      <c r="H606" s="2"/>
    </row>
    <row r="607" spans="1:29" ht="15" hidden="1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hidden="1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hidden="1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hidden="1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hidden="1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hidden="1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hidden="1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hidden="1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hidden="1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hidden="1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hidden="1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hidden="1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hidden="1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hidden="1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hidden="1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hidden="1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hidden="1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hidden="1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hidden="1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hidden="1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hidden="1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hidden="1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hidden="1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hidden="1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hidden="1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hidden="1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hidden="1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hidden="1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str">
        <f>+VLOOKUP(Table_1[[#This Row],[Account]],BV_Data_An_Cour!$L:$Q,6,0)</f>
        <v>5-Ventes</v>
      </c>
      <c r="H635" s="2"/>
    </row>
    <row r="636" spans="1:29" ht="15" hidden="1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hidden="1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hidden="1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hidden="1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hidden="1" customHeight="1">
      <c r="A640" s="1192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hidden="1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str">
        <f>+VLOOKUP(Table_1[[#This Row],[Account]],BV_Data_An_Cour!$L:$Q,6,0)</f>
        <v>10-Compte compteur</v>
      </c>
      <c r="H642" s="2"/>
    </row>
    <row r="643" spans="1:29" ht="15" hidden="1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hidden="1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str">
        <f>+VLOOKUP(Table_1[[#This Row],[Account]],BV_Data_An_Cour!$L:$Q,6,0)</f>
        <v>5-Ventes</v>
      </c>
      <c r="H645" s="2"/>
      <c r="K645" s="2"/>
    </row>
    <row r="646" spans="1:29" ht="15" hidden="1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str">
        <f>+VLOOKUP(Table_1[[#This Row],[Account]],BV_Data_An_Cour!$L:$Q,6,0)</f>
        <v>10-Compte compteur</v>
      </c>
      <c r="H646" s="2"/>
    </row>
    <row r="647" spans="1:29" ht="15" hidden="1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hidden="1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hidden="1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hidden="1" customHeight="1">
      <c r="A650" s="1211" t="s">
        <v>1581</v>
      </c>
      <c r="B650" s="1215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hidden="1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hidden="1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hidden="1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hidden="1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hidden="1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str">
        <f>+VLOOKUP(Table_1[[#This Row],[Account]],BV_Data_An_Cour!$L:$Q,6,0)</f>
        <v>5-Ventes</v>
      </c>
      <c r="H655" s="2"/>
    </row>
    <row r="656" spans="1:29" ht="15" hidden="1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str">
        <f>+VLOOKUP(Table_1[[#This Row],[Account]],BV_Data_An_Cour!$L:$Q,6,0)</f>
        <v>10-Compte compteur</v>
      </c>
      <c r="H656" s="2"/>
    </row>
    <row r="657" spans="1:8" ht="15" hidden="1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hidden="1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hidden="1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hidden="1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hidden="1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hidden="1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hidden="1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hidden="1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hidden="1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hidden="1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hidden="1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hidden="1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hidden="1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hidden="1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hidden="1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hidden="1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hidden="1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hidden="1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hidden="1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hidden="1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hidden="1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hidden="1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hidden="1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hidden="1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hidden="1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hidden="1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hidden="1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hidden="1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hidden="1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hidden="1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hidden="1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hidden="1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hidden="1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str">
        <f>+VLOOKUP(Table_1[[#This Row],[Account]],BV_Data_An_Cour!$L:$Q,6,0)</f>
        <v>5-Ventes</v>
      </c>
      <c r="H689" s="2"/>
    </row>
    <row r="690" spans="1:29" ht="15" hidden="1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str">
        <f>+VLOOKUP(Table_1[[#This Row],[Account]],BV_Data_An_Cour!$L:$Q,6,0)</f>
        <v>5-Ventes</v>
      </c>
      <c r="H690" s="2"/>
    </row>
    <row r="691" spans="1:29" ht="15" hidden="1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str">
        <f>+VLOOKUP(Table_1[[#This Row],[Account]],BV_Data_An_Cour!$L:$Q,6,0)</f>
        <v>10-Compte compteur</v>
      </c>
      <c r="H691" s="2"/>
    </row>
    <row r="692" spans="1:29" ht="15" hidden="1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hidden="1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hidden="1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hidden="1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hidden="1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hidden="1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hidden="1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hidden="1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hidden="1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hidden="1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hidden="1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hidden="1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hidden="1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hidden="1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str">
        <f>+VLOOKUP(Table_1[[#This Row],[Account]],BV_Data_An_Cour!$L:$Q,6,0)</f>
        <v>5-Ventes</v>
      </c>
      <c r="H706" s="2"/>
    </row>
    <row r="707" spans="1:8" ht="15" hidden="1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str">
        <f>+VLOOKUP(Table_1[[#This Row],[Account]],BV_Data_An_Cour!$L:$Q,6,0)</f>
        <v>10-Compte compteur</v>
      </c>
      <c r="H707" s="2"/>
    </row>
    <row r="708" spans="1:8" ht="15" hidden="1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hidden="1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hidden="1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hidden="1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hidden="1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hidden="1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hidden="1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hidden="1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hidden="1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hidden="1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hidden="1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hidden="1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hidden="1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hidden="1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hidden="1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hidden="1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hidden="1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hidden="1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hidden="1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hidden="1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hidden="1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hidden="1" customHeight="1">
      <c r="A729" s="1195" t="s">
        <v>2347</v>
      </c>
      <c r="B729" s="1204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hidden="1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hidden="1" customHeight="1">
      <c r="A731" s="162" t="s">
        <v>2993</v>
      </c>
      <c r="B731" s="158" t="s">
        <v>2991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hidden="1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hidden="1" customHeight="1">
      <c r="A733" s="165" t="s">
        <v>2351</v>
      </c>
      <c r="B733" s="1220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hidden="1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hidden="1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hidden="1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hidden="1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hidden="1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hidden="1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hidden="1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hidden="1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hidden="1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hidden="1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hidden="1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hidden="1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hidden="1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hidden="1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hidden="1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hidden="1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hidden="1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hidden="1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hidden="1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hidden="1" customHeight="1">
      <c r="A756" s="479" t="s">
        <v>2966</v>
      </c>
      <c r="B756" s="480" t="s">
        <v>2964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hidden="1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hidden="1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hidden="1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hidden="1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hidden="1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hidden="1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hidden="1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hidden="1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hidden="1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hidden="1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hidden="1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hidden="1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hidden="1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hidden="1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hidden="1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hidden="1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hidden="1" customHeight="1">
      <c r="A774" s="479" t="s">
        <v>2978</v>
      </c>
      <c r="B774" s="175" t="s">
        <v>2977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hidden="1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hidden="1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hidden="1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hidden="1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hidden="1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hidden="1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hidden="1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hidden="1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hidden="1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hidden="1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hidden="1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hidden="1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hidden="1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hidden="1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hidden="1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hidden="1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hidden="1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hidden="1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hidden="1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hidden="1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hidden="1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hidden="1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hidden="1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hidden="1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hidden="1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hidden="1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hidden="1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hidden="1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hidden="1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hidden="1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hidden="1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hidden="1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hidden="1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hidden="1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hidden="1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hidden="1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hidden="1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hidden="1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hidden="1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hidden="1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hidden="1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hidden="1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hidden="1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hidden="1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hidden="1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hidden="1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hidden="1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hidden="1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hidden="1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hidden="1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hidden="1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hidden="1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hidden="1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hidden="1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hidden="1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hidden="1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hidden="1" customHeight="1">
      <c r="A831" s="1192" t="s">
        <v>973</v>
      </c>
      <c r="B831" s="1201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hidden="1" customHeight="1">
      <c r="A832" s="1192" t="s">
        <v>975</v>
      </c>
      <c r="B832" s="1201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hidden="1" customHeight="1">
      <c r="A833" s="1198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hidden="1" customHeight="1">
      <c r="A834" s="1192" t="s">
        <v>935</v>
      </c>
      <c r="B834" s="1201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hidden="1" customHeight="1">
      <c r="A835" s="1192" t="s">
        <v>665</v>
      </c>
      <c r="B835" s="1201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hidden="1" customHeight="1">
      <c r="A836" s="1202" t="s">
        <v>666</v>
      </c>
      <c r="B836" s="1209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hidden="1" customHeight="1">
      <c r="A837" s="1192" t="s">
        <v>1853</v>
      </c>
      <c r="B837" s="1201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hidden="1" customHeight="1">
      <c r="A838" s="1192" t="s">
        <v>987</v>
      </c>
      <c r="B838" s="1201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hidden="1" customHeight="1">
      <c r="A839" s="1192" t="s">
        <v>985</v>
      </c>
      <c r="B839" s="1201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hidden="1" customHeight="1">
      <c r="A840" s="1202" t="s">
        <v>974</v>
      </c>
      <c r="B840" s="1209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hidden="1" customHeight="1">
      <c r="A841" s="1202" t="s">
        <v>982</v>
      </c>
      <c r="B841" s="1209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hidden="1" customHeight="1">
      <c r="A842" s="1192" t="s">
        <v>668</v>
      </c>
      <c r="B842" s="1201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hidden="1" customHeight="1">
      <c r="A843" s="1192" t="s">
        <v>986</v>
      </c>
      <c r="B843" s="1201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hidden="1" customHeight="1">
      <c r="A844" s="1192" t="s">
        <v>911</v>
      </c>
      <c r="B844" s="1209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hidden="1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hidden="1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hidden="1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hidden="1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hidden="1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hidden="1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hidden="1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hidden="1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hidden="1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hidden="1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hidden="1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hidden="1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hidden="1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hidden="1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hidden="1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hidden="1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hidden="1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hidden="1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hidden="1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hidden="1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hidden="1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hidden="1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hidden="1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hidden="1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hidden="1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hidden="1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hidden="1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hidden="1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hidden="1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hidden="1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hidden="1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hidden="1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hidden="1" customHeight="1">
      <c r="A877" s="162" t="s">
        <v>2971</v>
      </c>
      <c r="B877" s="158" t="s">
        <v>2970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hidden="1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hidden="1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hidden="1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hidden="1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hidden="1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hidden="1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hidden="1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hidden="1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hidden="1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hidden="1" customHeight="1">
      <c r="A887" s="1202" t="s">
        <v>905</v>
      </c>
      <c r="B887" s="1208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hidden="1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hidden="1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hidden="1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hidden="1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hidden="1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hidden="1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hidden="1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hidden="1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hidden="1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hidden="1" customHeight="1">
      <c r="A897" s="162" t="s">
        <v>898</v>
      </c>
      <c r="B897" s="1201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hidden="1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hidden="1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hidden="1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hidden="1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hidden="1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hidden="1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hidden="1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hidden="1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hidden="1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hidden="1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hidden="1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hidden="1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hidden="1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hidden="1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hidden="1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hidden="1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hidden="1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hidden="1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hidden="1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hidden="1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hidden="1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hidden="1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hidden="1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hidden="1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hidden="1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hidden="1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hidden="1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hidden="1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hidden="1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hidden="1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hidden="1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hidden="1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hidden="1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hidden="1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hidden="1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hidden="1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hidden="1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hidden="1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hidden="1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hidden="1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hidden="1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hidden="1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hidden="1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hidden="1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hidden="1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hidden="1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hidden="1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hidden="1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hidden="1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hidden="1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hidden="1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hidden="1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hidden="1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hidden="1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hidden="1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hidden="1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hidden="1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hidden="1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hidden="1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hidden="1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hidden="1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hidden="1" customHeight="1">
      <c r="A959" s="168" t="s">
        <v>766</v>
      </c>
      <c r="B959" s="1197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hidden="1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hidden="1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hidden="1" customHeight="1">
      <c r="A962" s="477" t="s">
        <v>794</v>
      </c>
      <c r="B962" s="481" t="s">
        <v>1236</v>
      </c>
      <c r="C962" s="159" t="s">
        <v>147</v>
      </c>
      <c r="D962" s="1206" t="s">
        <v>1899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hidden="1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hidden="1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hidden="1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hidden="1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hidden="1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hidden="1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hidden="1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hidden="1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hidden="1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hidden="1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hidden="1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hidden="1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hidden="1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hidden="1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hidden="1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hidden="1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hidden="1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hidden="1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hidden="1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hidden="1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hidden="1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hidden="1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hidden="1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hidden="1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hidden="1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hidden="1" customHeight="1">
      <c r="A988" s="1194" t="s">
        <v>847</v>
      </c>
      <c r="B988" s="1197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hidden="1" customHeight="1">
      <c r="A989" s="1196" t="s">
        <v>786</v>
      </c>
      <c r="B989" s="1205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hidden="1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hidden="1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hidden="1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hidden="1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hidden="1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hidden="1" customHeight="1">
      <c r="A995" s="1196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hidden="1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hidden="1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hidden="1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hidden="1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hidden="1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hidden="1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hidden="1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hidden="1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hidden="1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hidden="1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hidden="1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hidden="1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hidden="1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hidden="1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hidden="1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hidden="1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hidden="1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hidden="1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hidden="1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hidden="1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hidden="1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hidden="1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hidden="1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hidden="1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hidden="1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hidden="1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hidden="1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hidden="1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hidden="1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hidden="1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hidden="1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hidden="1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hidden="1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hidden="1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hidden="1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hidden="1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hidden="1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hidden="1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hidden="1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hidden="1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hidden="1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hidden="1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hidden="1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hidden="1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hidden="1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hidden="1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hidden="1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hidden="1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hidden="1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hidden="1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hidden="1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hidden="1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hidden="1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hidden="1" customHeight="1">
      <c r="A1049" s="1192" t="s">
        <v>836</v>
      </c>
      <c r="B1049" s="1201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hidden="1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hidden="1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hidden="1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hidden="1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hidden="1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hidden="1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hidden="1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hidden="1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hidden="1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hidden="1" customHeight="1">
      <c r="A1059" s="174" t="s">
        <v>3000</v>
      </c>
      <c r="B1059" s="158" t="s">
        <v>2999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312" t="str">
        <f>Parametres!$B$1&amp;" "&amp;"2 pager"&amp;" "&amp;Parametres!$B$3&amp;" "&amp;Parametres!$B$4</f>
        <v>BMW Sherbrooke 2 pager Novembre 2025</v>
      </c>
      <c r="C1" s="1312"/>
      <c r="D1" s="1312"/>
      <c r="E1" s="1312"/>
      <c r="F1" s="1312"/>
      <c r="G1" s="1312"/>
      <c r="H1" s="1312"/>
      <c r="I1" s="1312"/>
      <c r="J1" s="1312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12</v>
      </c>
      <c r="D4" s="727">
        <f>+Print_Mois!$D$13+Print_Mois!$D$15</f>
        <v>21</v>
      </c>
      <c r="E4" s="727">
        <f>+Print_Mois!$O$13+Print_Mois!$O$15</f>
        <v>35</v>
      </c>
      <c r="F4" s="728">
        <f t="shared" ref="F4:F15" si="0">+IFERROR($C4-D4,"")</f>
        <v>-9</v>
      </c>
      <c r="G4" s="729">
        <f t="shared" ref="G4:G15" si="1">+IFERROR($C4-E4,"")</f>
        <v>-23</v>
      </c>
      <c r="H4" s="765">
        <f t="shared" ref="H4:H15" si="2">+IFERROR(F4/ABS($D4),"")</f>
        <v>-0.42857142857142855</v>
      </c>
      <c r="I4" s="1023">
        <f t="shared" ref="I4:I14" si="3">+IFERROR(G4/ABS($E4),"")</f>
        <v>-0.65714285714285714</v>
      </c>
      <c r="J4" s="1309"/>
    </row>
    <row r="5" spans="1:25">
      <c r="A5" s="742"/>
      <c r="B5" s="554" t="s">
        <v>313</v>
      </c>
      <c r="C5" s="673">
        <f>+Print_Mois!$L$13+Print_Mois!$L$15</f>
        <v>47942.090000000084</v>
      </c>
      <c r="D5" s="673">
        <f>+Print_Mois!$F$13+Print_Mois!$F$15</f>
        <v>76398.409825966417</v>
      </c>
      <c r="E5" s="673">
        <f>+Print_Mois!$Q$13+Print_Mois!$Q$15</f>
        <v>117658.11999999998</v>
      </c>
      <c r="F5" s="674">
        <f t="shared" si="0"/>
        <v>-28456.319825966333</v>
      </c>
      <c r="G5" s="675">
        <f t="shared" si="1"/>
        <v>-69716.029999999897</v>
      </c>
      <c r="H5" s="740">
        <f t="shared" si="2"/>
        <v>-0.37247267175834009</v>
      </c>
      <c r="I5" s="1024">
        <f t="shared" si="3"/>
        <v>-0.5925305452781322</v>
      </c>
      <c r="J5" s="1310"/>
    </row>
    <row r="6" spans="1:25">
      <c r="A6" s="742"/>
      <c r="B6" s="554" t="s">
        <v>314</v>
      </c>
      <c r="C6" s="673">
        <f>+C5/C4</f>
        <v>3995.1741666666735</v>
      </c>
      <c r="D6" s="673">
        <f>+D5/D4</f>
        <v>3638.0195155222104</v>
      </c>
      <c r="E6" s="673">
        <f>+E5/E4</f>
        <v>3361.6605714285711</v>
      </c>
      <c r="F6" s="674">
        <f t="shared" si="0"/>
        <v>357.15465114446306</v>
      </c>
      <c r="G6" s="675">
        <f t="shared" si="1"/>
        <v>633.51359523810243</v>
      </c>
      <c r="H6" s="741">
        <f>+IFERROR(F6/ABS($D6),"")</f>
        <v>9.8172824422904773E-2</v>
      </c>
      <c r="I6" s="1025">
        <f t="shared" si="3"/>
        <v>0.1884525762721144</v>
      </c>
      <c r="J6" s="1310"/>
    </row>
    <row r="7" spans="1:25">
      <c r="A7" s="742"/>
      <c r="B7" s="554" t="s">
        <v>315</v>
      </c>
      <c r="C7" s="673">
        <f>+Print_Mois!$L$31</f>
        <v>13619.18</v>
      </c>
      <c r="D7" s="673">
        <f>+Print_Mois!$F$31</f>
        <v>22167.086934417115</v>
      </c>
      <c r="E7" s="673">
        <f>+Print_Mois!$Q$31</f>
        <v>46209.36</v>
      </c>
      <c r="F7" s="674">
        <f t="shared" si="0"/>
        <v>-8547.9069344171148</v>
      </c>
      <c r="G7" s="675">
        <f t="shared" si="1"/>
        <v>-32590.18</v>
      </c>
      <c r="H7" s="740">
        <f t="shared" si="2"/>
        <v>-0.38561255070216027</v>
      </c>
      <c r="I7" s="1024">
        <f t="shared" si="3"/>
        <v>-0.70527226518610087</v>
      </c>
      <c r="J7" s="1310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0.28407564209236552</v>
      </c>
      <c r="D8" s="678">
        <f>+D7/D5</f>
        <v>0.29015115608967729</v>
      </c>
      <c r="E8" s="678">
        <f>+E7/E5</f>
        <v>0.39274263433751966</v>
      </c>
      <c r="F8" s="676">
        <f t="shared" si="0"/>
        <v>-6.0755139973117656E-3</v>
      </c>
      <c r="G8" s="677">
        <f t="shared" si="1"/>
        <v>-0.10866699224515414</v>
      </c>
      <c r="H8" s="740">
        <f t="shared" si="2"/>
        <v>-2.0939134205737925E-2</v>
      </c>
      <c r="I8" s="1024">
        <f>+IFERROR(G8/ABS($E8),"")</f>
        <v>-0.27668753719201938</v>
      </c>
      <c r="J8" s="1310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18692.849999999999</v>
      </c>
      <c r="D9" s="673">
        <f>+Print_Mois!$F$24</f>
        <v>34755</v>
      </c>
      <c r="E9" s="673">
        <f>+Print_Mois!$Q$24</f>
        <v>66561.34</v>
      </c>
      <c r="F9" s="674">
        <f t="shared" si="0"/>
        <v>-16062.150000000001</v>
      </c>
      <c r="G9" s="675">
        <f t="shared" si="1"/>
        <v>-47868.49</v>
      </c>
      <c r="H9" s="740">
        <f t="shared" si="2"/>
        <v>-0.4621536469572724</v>
      </c>
      <c r="I9" s="1024">
        <f t="shared" si="3"/>
        <v>-0.71916355650291897</v>
      </c>
      <c r="J9" s="1310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1557.7375</v>
      </c>
      <c r="D10" s="673">
        <f>+D9/D4</f>
        <v>1655</v>
      </c>
      <c r="E10" s="673">
        <f>+E9/E4</f>
        <v>1901.7525714285714</v>
      </c>
      <c r="F10" s="674">
        <f t="shared" si="0"/>
        <v>-97.262500000000045</v>
      </c>
      <c r="G10" s="675">
        <f t="shared" si="1"/>
        <v>-344.01507142857145</v>
      </c>
      <c r="H10" s="741">
        <f t="shared" si="2"/>
        <v>-5.8768882175226612E-2</v>
      </c>
      <c r="I10" s="1025">
        <f t="shared" si="3"/>
        <v>-0.18089370646684699</v>
      </c>
      <c r="J10" s="1310"/>
    </row>
    <row r="11" spans="1:25">
      <c r="A11" s="742"/>
      <c r="B11" s="554" t="s">
        <v>319</v>
      </c>
      <c r="C11" s="673">
        <f>+Print_Mois!$L$32</f>
        <v>6079.87</v>
      </c>
      <c r="D11" s="673">
        <f>+Print_Mois!$F$32</f>
        <v>9557.625</v>
      </c>
      <c r="E11" s="673">
        <f>+Print_Mois!$Q$32</f>
        <v>28042.12</v>
      </c>
      <c r="F11" s="674">
        <f t="shared" si="0"/>
        <v>-3477.7550000000001</v>
      </c>
      <c r="G11" s="675">
        <f t="shared" si="1"/>
        <v>-21962.25</v>
      </c>
      <c r="H11" s="740">
        <f t="shared" si="2"/>
        <v>-0.36387230091157585</v>
      </c>
      <c r="I11" s="1024">
        <f t="shared" si="3"/>
        <v>-0.78318793300934453</v>
      </c>
      <c r="J11" s="1310"/>
    </row>
    <row r="12" spans="1:25">
      <c r="A12" s="742"/>
      <c r="B12" s="554" t="s">
        <v>320</v>
      </c>
      <c r="C12" s="678">
        <f>+C11/C9</f>
        <v>0.32525109868211644</v>
      </c>
      <c r="D12" s="678">
        <f>+D11/D9</f>
        <v>0.27500000000000002</v>
      </c>
      <c r="E12" s="678">
        <f>+E11/E9</f>
        <v>0.421297407774543</v>
      </c>
      <c r="F12" s="676">
        <f t="shared" si="0"/>
        <v>5.0251098682116413E-2</v>
      </c>
      <c r="G12" s="679">
        <f t="shared" si="1"/>
        <v>-9.6046309092426563E-2</v>
      </c>
      <c r="H12" s="740">
        <f t="shared" si="2"/>
        <v>0.18273126793496877</v>
      </c>
      <c r="I12" s="1024">
        <f t="shared" si="3"/>
        <v>-0.22797745089337382</v>
      </c>
      <c r="J12" s="1310"/>
    </row>
    <row r="13" spans="1:25">
      <c r="A13" s="742"/>
      <c r="B13" s="554" t="s">
        <v>321</v>
      </c>
      <c r="C13" s="673">
        <f>+Print_Mois!$L$41-C7-C11</f>
        <v>38516.1</v>
      </c>
      <c r="D13" s="673">
        <f>+Print_Mois!$F$41-D7-D11</f>
        <v>39736.468555990308</v>
      </c>
      <c r="E13" s="673">
        <f>+Print_Mois!$Q$41-E7-E11</f>
        <v>52975.559999999896</v>
      </c>
      <c r="F13" s="674">
        <f t="shared" si="0"/>
        <v>-1220.3685559903097</v>
      </c>
      <c r="G13" s="675">
        <f t="shared" si="1"/>
        <v>-14459.459999999897</v>
      </c>
      <c r="H13" s="740">
        <f t="shared" si="2"/>
        <v>-3.0711550380244802E-2</v>
      </c>
      <c r="I13" s="1024">
        <f t="shared" si="3"/>
        <v>-0.27294586409279914</v>
      </c>
      <c r="J13" s="1310"/>
    </row>
    <row r="14" spans="1:25">
      <c r="A14" s="742"/>
      <c r="B14" s="554" t="s">
        <v>322</v>
      </c>
      <c r="C14" s="673">
        <f>+C13/C4</f>
        <v>3209.6749999999997</v>
      </c>
      <c r="D14" s="673">
        <f>+D13/D4</f>
        <v>1892.2127883804908</v>
      </c>
      <c r="E14" s="673">
        <f>+E13/E4</f>
        <v>1513.5874285714256</v>
      </c>
      <c r="F14" s="674">
        <f t="shared" si="0"/>
        <v>1317.4622116195089</v>
      </c>
      <c r="G14" s="675">
        <f t="shared" si="1"/>
        <v>1696.0875714285742</v>
      </c>
      <c r="H14" s="740">
        <f t="shared" si="2"/>
        <v>0.69625478683457154</v>
      </c>
      <c r="I14" s="1024">
        <f t="shared" si="3"/>
        <v>1.1205745630626691</v>
      </c>
      <c r="J14" s="1310"/>
    </row>
    <row r="15" spans="1:25">
      <c r="A15" s="742"/>
      <c r="B15" s="554" t="s">
        <v>323</v>
      </c>
      <c r="C15" s="673">
        <f>+Print_Mois!$L$83</f>
        <v>49573.599999999999</v>
      </c>
      <c r="D15" s="673">
        <f>+Print_Mois!$F$83</f>
        <v>81487.015679999997</v>
      </c>
      <c r="E15" s="673">
        <f>+Print_Mois!$Q$83</f>
        <v>150334.83000000002</v>
      </c>
      <c r="F15" s="674">
        <f t="shared" si="0"/>
        <v>-31913.415679999998</v>
      </c>
      <c r="G15" s="675">
        <f t="shared" si="1"/>
        <v>-100761.23000000001</v>
      </c>
      <c r="H15" s="740">
        <f t="shared" si="2"/>
        <v>-0.39163804703959432</v>
      </c>
      <c r="I15" s="1024">
        <f>+IFERROR(G15/ABS($E15),"")</f>
        <v>-0.67024541152572559</v>
      </c>
      <c r="J15" s="1310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310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310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311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18</v>
      </c>
      <c r="D21" s="571">
        <f>+Print_Mois!$D$97</f>
        <v>18</v>
      </c>
      <c r="E21" s="571">
        <f>+Print_Mois!$O$97</f>
        <v>7</v>
      </c>
      <c r="F21" s="572">
        <f t="shared" ref="F21:F32" si="4">+IFERROR($C21-D21,"")</f>
        <v>0</v>
      </c>
      <c r="G21" s="573">
        <f t="shared" ref="G21:G32" si="5">+IFERROR($C21-E21,"")</f>
        <v>11</v>
      </c>
      <c r="H21" s="765">
        <f t="shared" ref="H21:H32" si="6">+IFERROR(F21/ABS($D21),"")</f>
        <v>0</v>
      </c>
      <c r="I21" s="1023">
        <f t="shared" ref="I21:I32" si="7">+IFERROR(G21/ABS($E21),"")</f>
        <v>1.5714285714285714</v>
      </c>
      <c r="J21" s="1309"/>
    </row>
    <row r="22" spans="1:25">
      <c r="B22" s="554" t="s">
        <v>313</v>
      </c>
      <c r="C22" s="673">
        <f>+Print_Mois!$L$97</f>
        <v>36298.720000000067</v>
      </c>
      <c r="D22" s="673">
        <f>+Print_Mois!$F$97</f>
        <v>32400</v>
      </c>
      <c r="E22" s="673">
        <f>+Print_Mois!$Q$97</f>
        <v>7059.4399999999805</v>
      </c>
      <c r="F22" s="674">
        <f t="shared" si="4"/>
        <v>3898.7200000000666</v>
      </c>
      <c r="G22" s="675">
        <f t="shared" si="5"/>
        <v>29239.280000000086</v>
      </c>
      <c r="H22" s="740">
        <f t="shared" si="6"/>
        <v>0.12033086419753292</v>
      </c>
      <c r="I22" s="1024">
        <f t="shared" si="7"/>
        <v>4.1418696100540791</v>
      </c>
      <c r="J22" s="1310"/>
    </row>
    <row r="23" spans="1:25">
      <c r="B23" s="554" t="s">
        <v>314</v>
      </c>
      <c r="C23" s="673">
        <f>+C22/C21</f>
        <v>2016.5955555555593</v>
      </c>
      <c r="D23" s="673">
        <f>+D22/D21</f>
        <v>1800</v>
      </c>
      <c r="E23" s="673">
        <f>+E22/E21</f>
        <v>1008.4914285714258</v>
      </c>
      <c r="F23" s="674">
        <f t="shared" si="4"/>
        <v>216.59555555555926</v>
      </c>
      <c r="G23" s="675">
        <f t="shared" si="5"/>
        <v>1008.1041269841335</v>
      </c>
      <c r="H23" s="741">
        <f t="shared" si="6"/>
        <v>0.12033086419753292</v>
      </c>
      <c r="I23" s="1025">
        <f t="shared" si="7"/>
        <v>0.9996159594654751</v>
      </c>
      <c r="J23" s="1310"/>
    </row>
    <row r="24" spans="1:25">
      <c r="B24" s="554" t="s">
        <v>315</v>
      </c>
      <c r="C24" s="673">
        <f>+Print_Mois!$L$112</f>
        <v>9362.27</v>
      </c>
      <c r="D24" s="673">
        <f>+Print_Mois!$F$112</f>
        <v>11114.63601532567</v>
      </c>
      <c r="E24" s="673">
        <f>+Print_Mois!$Q$112</f>
        <v>5846.44</v>
      </c>
      <c r="F24" s="674">
        <f t="shared" si="4"/>
        <v>-1752.3660153256697</v>
      </c>
      <c r="G24" s="675">
        <f t="shared" si="5"/>
        <v>3515.8300000000008</v>
      </c>
      <c r="H24" s="740">
        <f t="shared" si="6"/>
        <v>-0.15766292417577865</v>
      </c>
      <c r="I24" s="1024">
        <f t="shared" si="7"/>
        <v>0.60136253857048072</v>
      </c>
      <c r="J24" s="1310"/>
    </row>
    <row r="25" spans="1:25">
      <c r="B25" s="554" t="s">
        <v>316</v>
      </c>
      <c r="C25" s="678">
        <f>+C24/C22</f>
        <v>0.25792286890556976</v>
      </c>
      <c r="D25" s="678">
        <f>+D24/D22</f>
        <v>0.34304432146066882</v>
      </c>
      <c r="E25" s="678">
        <f>+E24/E22</f>
        <v>0.82817333952835004</v>
      </c>
      <c r="F25" s="676">
        <f t="shared" si="4"/>
        <v>-8.5121452555099064E-2</v>
      </c>
      <c r="G25" s="677">
        <f t="shared" si="5"/>
        <v>-0.57025047062278023</v>
      </c>
      <c r="H25" s="740">
        <f t="shared" si="6"/>
        <v>-0.24813543682243555</v>
      </c>
      <c r="I25" s="1024">
        <f t="shared" si="7"/>
        <v>-0.68856414883814232</v>
      </c>
      <c r="J25" s="1310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11902.57</v>
      </c>
      <c r="D26" s="673">
        <f>+Print_Mois!$F$105</f>
        <v>26100</v>
      </c>
      <c r="E26" s="673">
        <f>+Print_Mois!$Q$105</f>
        <v>12588.11</v>
      </c>
      <c r="F26" s="674">
        <f t="shared" si="4"/>
        <v>-14197.43</v>
      </c>
      <c r="G26" s="675">
        <f t="shared" si="5"/>
        <v>-685.54000000000087</v>
      </c>
      <c r="H26" s="740">
        <f t="shared" si="6"/>
        <v>-0.54396283524904221</v>
      </c>
      <c r="I26" s="1024">
        <f t="shared" si="7"/>
        <v>-5.4459327095171622E-2</v>
      </c>
      <c r="J26" s="1310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661.25388888888892</v>
      </c>
      <c r="D27" s="673">
        <f>+D26/D21</f>
        <v>1450</v>
      </c>
      <c r="E27" s="673">
        <f>+E26/E21</f>
        <v>1798.3014285714287</v>
      </c>
      <c r="F27" s="674">
        <f t="shared" si="4"/>
        <v>-788.74611111111108</v>
      </c>
      <c r="G27" s="675">
        <f t="shared" si="5"/>
        <v>-1137.0475396825398</v>
      </c>
      <c r="H27" s="741">
        <f t="shared" si="6"/>
        <v>-0.5439628352490421</v>
      </c>
      <c r="I27" s="1025">
        <f t="shared" si="7"/>
        <v>-0.63228973831478896</v>
      </c>
      <c r="J27" s="1310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2187.98</v>
      </c>
      <c r="D28" s="673">
        <f>+Print_Mois!$F$113</f>
        <v>7177.5</v>
      </c>
      <c r="E28" s="673">
        <f>+Print_Mois!$Q$113</f>
        <v>4430.55</v>
      </c>
      <c r="F28" s="674">
        <f t="shared" si="4"/>
        <v>-4989.5200000000004</v>
      </c>
      <c r="G28" s="675">
        <f t="shared" si="5"/>
        <v>-2242.5700000000002</v>
      </c>
      <c r="H28" s="740">
        <f t="shared" si="6"/>
        <v>-0.69516126785092314</v>
      </c>
      <c r="I28" s="1024">
        <f t="shared" si="7"/>
        <v>-0.50616063468418149</v>
      </c>
      <c r="J28" s="1310"/>
    </row>
    <row r="29" spans="1:25">
      <c r="B29" s="554" t="s">
        <v>320</v>
      </c>
      <c r="C29" s="678">
        <f>+C28/C26</f>
        <v>0.18382416570538967</v>
      </c>
      <c r="D29" s="678">
        <f>+D28/D26</f>
        <v>0.27500000000000002</v>
      </c>
      <c r="E29" s="678">
        <f>+E28/E26</f>
        <v>0.35196308262320553</v>
      </c>
      <c r="F29" s="676">
        <f t="shared" si="4"/>
        <v>-9.1175834294610347E-2</v>
      </c>
      <c r="G29" s="679">
        <f t="shared" si="5"/>
        <v>-0.16813891691781585</v>
      </c>
      <c r="H29" s="740">
        <f t="shared" si="6"/>
        <v>-0.33154848834403761</v>
      </c>
      <c r="I29" s="1024">
        <f t="shared" si="7"/>
        <v>-0.47771748009667581</v>
      </c>
      <c r="J29" s="1310"/>
    </row>
    <row r="30" spans="1:25">
      <c r="B30" s="554" t="s">
        <v>321</v>
      </c>
      <c r="C30" s="673">
        <f>+Print_Mois!$L$122-C24-C28</f>
        <v>13913.880000000001</v>
      </c>
      <c r="D30" s="673">
        <f>+Print_Mois!$F$122-D24-D28</f>
        <v>16275.979016393445</v>
      </c>
      <c r="E30" s="673">
        <f>+Print_Mois!$Q$122-E24-E28</f>
        <v>17100.399999999987</v>
      </c>
      <c r="F30" s="674">
        <f t="shared" si="4"/>
        <v>-2362.0990163934439</v>
      </c>
      <c r="G30" s="675">
        <f t="shared" si="5"/>
        <v>-3186.5199999999859</v>
      </c>
      <c r="H30" s="740">
        <f t="shared" si="6"/>
        <v>-0.14512792219836959</v>
      </c>
      <c r="I30" s="1024">
        <f t="shared" si="7"/>
        <v>-0.18634183995695938</v>
      </c>
      <c r="J30" s="1310"/>
    </row>
    <row r="31" spans="1:25">
      <c r="B31" s="554" t="s">
        <v>322</v>
      </c>
      <c r="C31" s="673">
        <f>+C30/C21</f>
        <v>772.99333333333334</v>
      </c>
      <c r="D31" s="673">
        <f>+D30/D21</f>
        <v>904.22105646630246</v>
      </c>
      <c r="E31" s="673">
        <f>+E30/E21</f>
        <v>2442.9142857142838</v>
      </c>
      <c r="F31" s="674">
        <f t="shared" si="4"/>
        <v>-131.22772313296912</v>
      </c>
      <c r="G31" s="675">
        <f t="shared" si="5"/>
        <v>-1669.9209523809504</v>
      </c>
      <c r="H31" s="740">
        <f t="shared" si="6"/>
        <v>-0.14512792219836962</v>
      </c>
      <c r="I31" s="1024">
        <f>+IFERROR(G31/ABS($E31),"")</f>
        <v>-0.68357738220548425</v>
      </c>
      <c r="J31" s="1310"/>
    </row>
    <row r="32" spans="1:25">
      <c r="B32" s="554" t="s">
        <v>323</v>
      </c>
      <c r="C32" s="673">
        <f>+Print_Mois!$L$163</f>
        <v>10580</v>
      </c>
      <c r="D32" s="673">
        <f>+Print_Mois!$F$163</f>
        <v>11943.3</v>
      </c>
      <c r="E32" s="673">
        <f>+Print_Mois!$Q$163</f>
        <v>4165</v>
      </c>
      <c r="F32" s="674">
        <f t="shared" si="4"/>
        <v>-1363.2999999999993</v>
      </c>
      <c r="G32" s="675">
        <f t="shared" si="5"/>
        <v>6415</v>
      </c>
      <c r="H32" s="740">
        <f t="shared" si="6"/>
        <v>-0.11414768112665673</v>
      </c>
      <c r="I32" s="1024">
        <f t="shared" si="7"/>
        <v>1.5402160864345738</v>
      </c>
      <c r="J32" s="1310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310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310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311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221394.05000000002</v>
      </c>
      <c r="D38" s="574">
        <f>+Print_Mois!$E$194</f>
        <v>208464.27843212773</v>
      </c>
      <c r="E38" s="574">
        <f>+Print_Mois!$P$194</f>
        <v>193886.46999999988</v>
      </c>
      <c r="F38" s="575">
        <f t="shared" ref="F38:F47" si="8">+IFERROR($C38-D38,"")</f>
        <v>12929.771567872289</v>
      </c>
      <c r="G38" s="576">
        <f t="shared" ref="G38:G47" si="9">+IFERROR($C38-E38,"")</f>
        <v>27507.580000000133</v>
      </c>
      <c r="H38" s="765">
        <f t="shared" ref="H38:H47" si="10">+IFERROR(F38/ABS($D38),"")</f>
        <v>6.2023919230277114E-2</v>
      </c>
      <c r="I38" s="1023">
        <f t="shared" ref="I38:I47" si="11">+IFERROR(G38/ABS($E38),"")</f>
        <v>0.14187467542216922</v>
      </c>
      <c r="J38" s="1309"/>
    </row>
    <row r="39" spans="2:10">
      <c r="B39" s="553" t="s">
        <v>334</v>
      </c>
      <c r="C39" s="574">
        <f>+Print_Mois!$L$194</f>
        <v>161150.26999999999</v>
      </c>
      <c r="D39" s="574">
        <f>+Print_Mois!$F$194</f>
        <v>138661.6695372574</v>
      </c>
      <c r="E39" s="574">
        <f>+Print_Mois!$Q$194</f>
        <v>136552.5799999997</v>
      </c>
      <c r="F39" s="575">
        <f t="shared" si="8"/>
        <v>22488.600462742586</v>
      </c>
      <c r="G39" s="576">
        <f t="shared" si="9"/>
        <v>24597.690000000293</v>
      </c>
      <c r="H39" s="766">
        <f t="shared" si="10"/>
        <v>0.16218325177961354</v>
      </c>
      <c r="I39" s="1032">
        <f t="shared" si="11"/>
        <v>0.18013346946648937</v>
      </c>
      <c r="J39" s="1310"/>
    </row>
    <row r="40" spans="2:10">
      <c r="B40" s="554" t="s">
        <v>335</v>
      </c>
      <c r="C40" s="673">
        <f>+Print_Mois!$K$172/Print_Mois!$J$172</f>
        <v>272.73602977667491</v>
      </c>
      <c r="D40" s="1001">
        <v>324</v>
      </c>
      <c r="E40" s="673">
        <f>+Print_Mois!$P$172/Print_Mois!$O$172</f>
        <v>306.12368263473053</v>
      </c>
      <c r="F40" s="674">
        <f t="shared" si="8"/>
        <v>-51.263970223325089</v>
      </c>
      <c r="G40" s="675">
        <f t="shared" si="9"/>
        <v>-33.387652858055617</v>
      </c>
      <c r="H40" s="740">
        <f t="shared" si="10"/>
        <v>-0.15822213031890459</v>
      </c>
      <c r="I40" s="1024">
        <f t="shared" si="11"/>
        <v>-0.10906589314062989</v>
      </c>
      <c r="J40" s="1310"/>
    </row>
    <row r="41" spans="2:10">
      <c r="B41" s="554" t="s">
        <v>336</v>
      </c>
      <c r="C41" s="673">
        <f>+Print_Mois!$K$175/Print_Mois!$J$175</f>
        <v>144.62393939393939</v>
      </c>
      <c r="D41" s="1001">
        <v>145</v>
      </c>
      <c r="E41" s="673">
        <f>+Print_Mois!$P$175/Print_Mois!$O$175</f>
        <v>175.94625000000002</v>
      </c>
      <c r="F41" s="674">
        <f t="shared" si="8"/>
        <v>-0.3760606060606051</v>
      </c>
      <c r="G41" s="675">
        <f t="shared" si="9"/>
        <v>-31.322310606060626</v>
      </c>
      <c r="H41" s="740">
        <f t="shared" si="10"/>
        <v>-2.5935214211076215E-3</v>
      </c>
      <c r="I41" s="1024">
        <f t="shared" si="11"/>
        <v>-0.17802204142492734</v>
      </c>
      <c r="J41" s="1310"/>
    </row>
    <row r="42" spans="2:10">
      <c r="B42" s="554" t="s">
        <v>328</v>
      </c>
      <c r="C42" s="688">
        <f>+Print_Mois!$L$184</f>
        <v>-3306.25</v>
      </c>
      <c r="D42" s="688">
        <f>+Print_Mois!$F$184</f>
        <v>-3643.3808555769469</v>
      </c>
      <c r="E42" s="688">
        <f>+Print_Mois!$Q$184</f>
        <v>-1386.92</v>
      </c>
      <c r="F42" s="674">
        <f t="shared" si="8"/>
        <v>337.13085557694694</v>
      </c>
      <c r="G42" s="675">
        <f t="shared" si="9"/>
        <v>-1919.33</v>
      </c>
      <c r="H42" s="740">
        <f t="shared" si="10"/>
        <v>9.253242220365146E-2</v>
      </c>
      <c r="I42" s="1024">
        <f t="shared" si="11"/>
        <v>-1.3838793874196058</v>
      </c>
      <c r="J42" s="1310"/>
    </row>
    <row r="43" spans="2:10">
      <c r="B43" s="554" t="s">
        <v>337</v>
      </c>
      <c r="C43" s="673">
        <f>+Print_Mois!$L$210</f>
        <v>68795.939999999988</v>
      </c>
      <c r="D43" s="673">
        <f>+Print_Mois!$F$210</f>
        <v>63056.358692533227</v>
      </c>
      <c r="E43" s="673">
        <f>+Print_Mois!$Q$210</f>
        <v>64081.62</v>
      </c>
      <c r="F43" s="674">
        <f t="shared" si="8"/>
        <v>5739.5813074667603</v>
      </c>
      <c r="G43" s="675">
        <f t="shared" si="9"/>
        <v>4714.3199999999852</v>
      </c>
      <c r="H43" s="740">
        <f t="shared" si="10"/>
        <v>9.1023037588537581E-2</v>
      </c>
      <c r="I43" s="1024">
        <f t="shared" si="11"/>
        <v>7.3567428538791391E-2</v>
      </c>
      <c r="J43" s="1310"/>
    </row>
    <row r="44" spans="2:10">
      <c r="B44" s="555" t="s">
        <v>338</v>
      </c>
      <c r="C44" s="673">
        <f>+SUM(Print_Mois!$L$198:$L$204)</f>
        <v>45354.63</v>
      </c>
      <c r="D44" s="673">
        <f>+SUM(Print_Mois!$F$198:$F$204)</f>
        <v>36868.304915585439</v>
      </c>
      <c r="E44" s="673">
        <f>+SUM(Print_Mois!$Q$198:$Q$204)</f>
        <v>42062.57</v>
      </c>
      <c r="F44" s="674">
        <f t="shared" si="8"/>
        <v>8486.3250844145587</v>
      </c>
      <c r="G44" s="675">
        <f t="shared" si="9"/>
        <v>3292.0599999999977</v>
      </c>
      <c r="H44" s="740">
        <f t="shared" si="10"/>
        <v>0.23017942115443207</v>
      </c>
      <c r="I44" s="1024">
        <f t="shared" si="11"/>
        <v>7.8265783569572603E-2</v>
      </c>
      <c r="J44" s="1310"/>
    </row>
    <row r="45" spans="2:10">
      <c r="B45" s="555" t="s">
        <v>339</v>
      </c>
      <c r="C45" s="673">
        <f>+SUM(Print_Mois!$L$205:$L$209)</f>
        <v>23441.31</v>
      </c>
      <c r="D45" s="673">
        <f>+SUM(Print_Mois!$F$205:$F$209)</f>
        <v>26188.053776947792</v>
      </c>
      <c r="E45" s="673">
        <f>+SUM(Print_Mois!$Q$205:$Q$209)</f>
        <v>22019.05</v>
      </c>
      <c r="F45" s="674">
        <f t="shared" si="8"/>
        <v>-2746.743776947791</v>
      </c>
      <c r="G45" s="675">
        <f t="shared" si="9"/>
        <v>1422.260000000002</v>
      </c>
      <c r="H45" s="740">
        <f t="shared" si="10"/>
        <v>-0.10488537255737693</v>
      </c>
      <c r="I45" s="1024">
        <f t="shared" si="11"/>
        <v>6.4592250801011039E-2</v>
      </c>
      <c r="J45" s="1310"/>
    </row>
    <row r="46" spans="2:10">
      <c r="B46" s="554" t="s">
        <v>348</v>
      </c>
      <c r="C46" s="713">
        <f>+C43/C38</f>
        <v>0.31073978727070573</v>
      </c>
      <c r="D46" s="713">
        <f>+D43/D38</f>
        <v>0.30248040175891938</v>
      </c>
      <c r="E46" s="713">
        <f>+E43/E38</f>
        <v>0.33051104597448205</v>
      </c>
      <c r="F46" s="676">
        <f t="shared" si="8"/>
        <v>8.2593855117863435E-3</v>
      </c>
      <c r="G46" s="677">
        <f t="shared" si="9"/>
        <v>-1.9771258703776329E-2</v>
      </c>
      <c r="H46" s="740">
        <f t="shared" si="10"/>
        <v>2.7305522816546562E-2</v>
      </c>
      <c r="I46" s="1024">
        <f t="shared" si="11"/>
        <v>-5.9820266053385758E-2</v>
      </c>
      <c r="J46" s="1310"/>
    </row>
    <row r="47" spans="2:10">
      <c r="B47" s="577" t="s">
        <v>120</v>
      </c>
      <c r="C47" s="689">
        <f>+Print_Mois!$L$213</f>
        <v>7720</v>
      </c>
      <c r="D47" s="689">
        <f>+Print_Mois!$F$213</f>
        <v>6592.8333333333339</v>
      </c>
      <c r="E47" s="689">
        <f>+Print_Mois!$Q$213</f>
        <v>8311.58</v>
      </c>
      <c r="F47" s="684">
        <f t="shared" si="8"/>
        <v>1127.1666666666661</v>
      </c>
      <c r="G47" s="685">
        <f t="shared" si="9"/>
        <v>-591.57999999999993</v>
      </c>
      <c r="H47" s="744">
        <f t="shared" si="10"/>
        <v>0.17096847587026306</v>
      </c>
      <c r="I47" s="1028">
        <f t="shared" si="11"/>
        <v>-7.1175396254382434E-2</v>
      </c>
      <c r="J47" s="1311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426858.23</v>
      </c>
      <c r="D50" s="574">
        <f>+Print_Mois!$D$314</f>
        <v>391682.83512914623</v>
      </c>
      <c r="E50" s="574">
        <f>+Print_Mois!$O$314</f>
        <v>446364.69</v>
      </c>
      <c r="F50" s="575">
        <f t="shared" ref="F50:F59" si="12">+IFERROR($C50-D50,"")</f>
        <v>35175.39487085375</v>
      </c>
      <c r="G50" s="576">
        <f t="shared" ref="G50:G59" si="13">+IFERROR($C50-E50,"")</f>
        <v>-19506.460000000021</v>
      </c>
      <c r="H50" s="765">
        <f t="shared" ref="H50:H59" si="14">+IFERROR(F50/ABS($D50),"")</f>
        <v>8.9805811529258539E-2</v>
      </c>
      <c r="I50" s="1023">
        <f t="shared" ref="I50:I59" si="15">+IFERROR(G50/ABS($E50),"")</f>
        <v>-4.3700723728841588E-2</v>
      </c>
      <c r="J50" s="1309"/>
    </row>
    <row r="51" spans="2:25">
      <c r="B51" s="690" t="s">
        <v>326</v>
      </c>
      <c r="C51" s="673">
        <f>+Print_Mois!$J$295</f>
        <v>67696.600000000006</v>
      </c>
      <c r="D51" s="673">
        <f>+Print_Mois!$D$295</f>
        <v>79156.896088608351</v>
      </c>
      <c r="E51" s="673">
        <f>+Print_Mois!$O$295</f>
        <v>76600.95</v>
      </c>
      <c r="F51" s="674">
        <f t="shared" si="12"/>
        <v>-11460.296088608346</v>
      </c>
      <c r="G51" s="675">
        <f t="shared" si="13"/>
        <v>-8904.3499999999913</v>
      </c>
      <c r="H51" s="740">
        <f t="shared" si="14"/>
        <v>-0.14477950317530985</v>
      </c>
      <c r="I51" s="1024">
        <f t="shared" si="15"/>
        <v>-0.11624333640770763</v>
      </c>
      <c r="J51" s="1310"/>
    </row>
    <row r="52" spans="2:25">
      <c r="B52" s="690" t="s">
        <v>327</v>
      </c>
      <c r="C52" s="673">
        <f>+Print_Mois!$J$297</f>
        <v>41301.49</v>
      </c>
      <c r="D52" s="673">
        <f>+Print_Mois!$D$297</f>
        <v>43079.472829361701</v>
      </c>
      <c r="E52" s="673">
        <f>+Print_Mois!$O$297</f>
        <v>82161.429999999993</v>
      </c>
      <c r="F52" s="674">
        <f t="shared" si="12"/>
        <v>-1777.9828293617029</v>
      </c>
      <c r="G52" s="675">
        <f t="shared" si="13"/>
        <v>-40859.939999999995</v>
      </c>
      <c r="H52" s="740">
        <f t="shared" si="14"/>
        <v>-4.1272158468705356E-2</v>
      </c>
      <c r="I52" s="1024">
        <f t="shared" si="15"/>
        <v>-0.49731291191012617</v>
      </c>
      <c r="J52" s="1310"/>
    </row>
    <row r="53" spans="2:25">
      <c r="B53" s="690" t="s">
        <v>340</v>
      </c>
      <c r="C53" s="673">
        <f>+Print_Mois!$J$300</f>
        <v>50422.46</v>
      </c>
      <c r="D53" s="673">
        <f>+Print_Mois!$D$300</f>
        <v>61767.125077228797</v>
      </c>
      <c r="E53" s="673">
        <f>+Print_Mois!$O$300</f>
        <v>54580.51</v>
      </c>
      <c r="F53" s="674">
        <f t="shared" si="12"/>
        <v>-11344.665077228798</v>
      </c>
      <c r="G53" s="675">
        <f t="shared" si="13"/>
        <v>-4158.0500000000029</v>
      </c>
      <c r="H53" s="740">
        <f t="shared" si="14"/>
        <v>-0.18366833591565598</v>
      </c>
      <c r="I53" s="1024">
        <f t="shared" si="15"/>
        <v>-7.6181955793377581E-2</v>
      </c>
      <c r="J53" s="1310"/>
    </row>
    <row r="54" spans="2:25">
      <c r="B54" s="690" t="s">
        <v>341</v>
      </c>
      <c r="C54" s="673">
        <f>+Print_Mois!$J$307</f>
        <v>204347.3</v>
      </c>
      <c r="D54" s="673">
        <f>+Print_Mois!$D$307</f>
        <v>137205.10504824581</v>
      </c>
      <c r="E54" s="673">
        <f>+Print_Mois!$O$307</f>
        <v>162274.26</v>
      </c>
      <c r="F54" s="674">
        <f t="shared" si="12"/>
        <v>67142.19495175418</v>
      </c>
      <c r="G54" s="675">
        <f t="shared" si="13"/>
        <v>42073.039999999979</v>
      </c>
      <c r="H54" s="740">
        <f t="shared" si="14"/>
        <v>0.4893563904064997</v>
      </c>
      <c r="I54" s="1024">
        <f t="shared" si="15"/>
        <v>0.25927118693993723</v>
      </c>
      <c r="J54" s="1310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63090.380000000005</v>
      </c>
      <c r="D55" s="673">
        <f>+D50-SUM(D51:D54)</f>
        <v>70474.236085701617</v>
      </c>
      <c r="E55" s="673">
        <f>+E50-SUM(E51:E54)</f>
        <v>70747.539999999979</v>
      </c>
      <c r="F55" s="674">
        <f t="shared" si="12"/>
        <v>-7383.8560857016128</v>
      </c>
      <c r="G55" s="675">
        <f t="shared" si="13"/>
        <v>-7657.1599999999744</v>
      </c>
      <c r="H55" s="740">
        <f t="shared" si="14"/>
        <v>-0.10477383645169741</v>
      </c>
      <c r="I55" s="1024">
        <f t="shared" si="15"/>
        <v>-0.10823217316107354</v>
      </c>
      <c r="J55" s="1310"/>
    </row>
    <row r="56" spans="2:25">
      <c r="B56" s="553" t="s">
        <v>334</v>
      </c>
      <c r="C56" s="574">
        <f>+Print_Mois!$L$314</f>
        <v>143053.82</v>
      </c>
      <c r="D56" s="574">
        <f>+Print_Mois!$F$314</f>
        <v>119571.61878287405</v>
      </c>
      <c r="E56" s="574">
        <f>+Print_Mois!$Q$314</f>
        <v>128473.25999999986</v>
      </c>
      <c r="F56" s="575">
        <f t="shared" si="12"/>
        <v>23482.201217125956</v>
      </c>
      <c r="G56" s="576">
        <f t="shared" si="13"/>
        <v>14580.560000000143</v>
      </c>
      <c r="H56" s="766">
        <f t="shared" si="14"/>
        <v>0.19638607770098412</v>
      </c>
      <c r="I56" s="1032">
        <f t="shared" si="15"/>
        <v>0.11349100972451512</v>
      </c>
      <c r="J56" s="1310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167.9816377171216</v>
      </c>
      <c r="D57" s="1001">
        <v>301</v>
      </c>
      <c r="E57" s="673">
        <f>+Print_Mois!$O$295/Print_Mois!$O$172</f>
        <v>229.34416167664671</v>
      </c>
      <c r="F57" s="674">
        <f t="shared" si="12"/>
        <v>-133.0183622828784</v>
      </c>
      <c r="G57" s="675">
        <f t="shared" si="13"/>
        <v>-61.362523959525106</v>
      </c>
      <c r="H57" s="740">
        <f t="shared" si="14"/>
        <v>-0.44192146937833354</v>
      </c>
      <c r="I57" s="1024">
        <f t="shared" si="15"/>
        <v>-0.26755651205998598</v>
      </c>
      <c r="J57" s="1310"/>
    </row>
    <row r="58" spans="2:25">
      <c r="B58" s="554" t="s">
        <v>336</v>
      </c>
      <c r="C58" s="673">
        <f>+Print_Mois!$J$297/Print_Mois!$J$175</f>
        <v>208.59338383838383</v>
      </c>
      <c r="D58" s="1001">
        <v>306</v>
      </c>
      <c r="E58" s="673">
        <f>+Print_Mois!$O$297/Print_Mois!$O$175</f>
        <v>489.0561309523809</v>
      </c>
      <c r="F58" s="674">
        <f t="shared" si="12"/>
        <v>-97.406616161616171</v>
      </c>
      <c r="G58" s="675">
        <f t="shared" si="13"/>
        <v>-280.46274711399707</v>
      </c>
      <c r="H58" s="740">
        <f t="shared" si="14"/>
        <v>-0.31832227503796134</v>
      </c>
      <c r="I58" s="1024">
        <f t="shared" si="15"/>
        <v>-0.57347762222677368</v>
      </c>
      <c r="J58" s="1310"/>
    </row>
    <row r="59" spans="2:25">
      <c r="B59" s="577" t="s">
        <v>111</v>
      </c>
      <c r="C59" s="689">
        <f>+Print_Mois!$L$320</f>
        <v>21041.61</v>
      </c>
      <c r="D59" s="689">
        <f>+Print_Mois!$F$320</f>
        <v>14037.305823754788</v>
      </c>
      <c r="E59" s="689">
        <f>+Print_Mois!$Q$320</f>
        <v>16511.98</v>
      </c>
      <c r="F59" s="684">
        <f t="shared" si="12"/>
        <v>7004.3041762452121</v>
      </c>
      <c r="G59" s="685">
        <f t="shared" si="13"/>
        <v>4529.630000000001</v>
      </c>
      <c r="H59" s="744">
        <f t="shared" si="14"/>
        <v>0.49897781413240277</v>
      </c>
      <c r="I59" s="1034">
        <f t="shared" si="15"/>
        <v>0.27432385455893243</v>
      </c>
      <c r="J59" s="1311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0.37822777206546071</v>
      </c>
      <c r="D62" s="692">
        <f>+Print_Mois!$Z$433/Print_Mois!$Z$407</f>
        <v>0.37245348762524716</v>
      </c>
      <c r="E62" s="692">
        <f>+Print_Mois!$AL$433/Print_Mois!$AL$407</f>
        <v>0.33244960240382287</v>
      </c>
      <c r="F62" s="676">
        <f t="shared" ref="F62:G67" si="16">+IFERROR($C62-D62,"")</f>
        <v>5.7742844402135507E-3</v>
      </c>
      <c r="G62" s="677">
        <f t="shared" si="16"/>
        <v>4.5778169661637835E-2</v>
      </c>
      <c r="H62" s="740">
        <f t="shared" ref="H62:H67" si="17">+IFERROR(F62/ABS($D62),"")</f>
        <v>1.5503370573947968E-2</v>
      </c>
      <c r="I62" s="1024">
        <f t="shared" ref="I62:I67" si="18">+IFERROR(G62/ABS($E62),"")</f>
        <v>0.1376995771107333</v>
      </c>
      <c r="J62" s="1309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310"/>
    </row>
    <row r="64" spans="2:25">
      <c r="B64" s="691" t="s">
        <v>331</v>
      </c>
      <c r="C64" s="673">
        <f>+Print_Mois!$AF$414+Print_Mois!$AF$434</f>
        <v>38243.19</v>
      </c>
      <c r="D64" s="673">
        <f>+Print_Mois!$Z$414+Print_Mois!$Z$434</f>
        <v>28024.33277126334</v>
      </c>
      <c r="E64" s="673">
        <f>+Print_Mois!$AL$414+Print_Mois!$AL$434</f>
        <v>34898.489999999889</v>
      </c>
      <c r="F64" s="674">
        <f t="shared" si="16"/>
        <v>10218.857228736662</v>
      </c>
      <c r="G64" s="675">
        <f t="shared" si="16"/>
        <v>3344.7000000001135</v>
      </c>
      <c r="H64" s="740">
        <f t="shared" si="17"/>
        <v>0.36464230253557595</v>
      </c>
      <c r="I64" s="1024">
        <f t="shared" si="18"/>
        <v>9.5840822912398912E-2</v>
      </c>
      <c r="J64" s="1310"/>
    </row>
    <row r="65" spans="2:25">
      <c r="B65" s="691" t="s">
        <v>347</v>
      </c>
      <c r="C65" s="673">
        <f>+Print_Mois!$AF$452-Print_Mois!$AF$434</f>
        <v>83619.149999999994</v>
      </c>
      <c r="D65" s="673">
        <f>+Print_Mois!$Z$452-Print_Mois!$Z$434</f>
        <v>67225.473988327198</v>
      </c>
      <c r="E65" s="673">
        <f>+Print_Mois!$AL$452-Print_Mois!$AL$434</f>
        <v>81736.709999999963</v>
      </c>
      <c r="F65" s="674">
        <f t="shared" si="16"/>
        <v>16393.676011672796</v>
      </c>
      <c r="G65" s="675">
        <f t="shared" si="16"/>
        <v>1882.4400000000314</v>
      </c>
      <c r="H65" s="740">
        <f t="shared" si="17"/>
        <v>0.2438610699051276</v>
      </c>
      <c r="I65" s="1024">
        <f t="shared" si="18"/>
        <v>2.3030533037114317E-2</v>
      </c>
      <c r="J65" s="1310"/>
    </row>
    <row r="66" spans="2:25">
      <c r="B66" s="691" t="s">
        <v>346</v>
      </c>
      <c r="C66" s="673">
        <f>+Print_Mois!$AF$415</f>
        <v>26099.040000000001</v>
      </c>
      <c r="D66" s="673">
        <f>+Print_Mois!$Z$415</f>
        <v>28390.065219442567</v>
      </c>
      <c r="E66" s="673">
        <f>+Print_Mois!$AL$415</f>
        <v>38434.049999999996</v>
      </c>
      <c r="F66" s="674">
        <f t="shared" si="16"/>
        <v>-2291.0252194425666</v>
      </c>
      <c r="G66" s="675">
        <f t="shared" si="16"/>
        <v>-12335.009999999995</v>
      </c>
      <c r="H66" s="740">
        <f t="shared" si="17"/>
        <v>-8.0698131608150994E-2</v>
      </c>
      <c r="I66" s="1024">
        <f t="shared" si="18"/>
        <v>-0.32093963555753285</v>
      </c>
      <c r="J66" s="1310"/>
    </row>
    <row r="67" spans="2:25">
      <c r="B67" s="693" t="s">
        <v>349</v>
      </c>
      <c r="C67" s="689">
        <f>+Print_Mois!$AF$481-C32-C15</f>
        <v>11126.32</v>
      </c>
      <c r="D67" s="689">
        <f>+Print_Mois!$Z$481-D32-D15</f>
        <v>18867.120185454551</v>
      </c>
      <c r="E67" s="689">
        <f>+Print_Mois!$AL$481-E32-E15</f>
        <v>35975.149999999994</v>
      </c>
      <c r="F67" s="684">
        <f t="shared" si="16"/>
        <v>-7740.800185454551</v>
      </c>
      <c r="G67" s="685">
        <f t="shared" si="16"/>
        <v>-24848.829999999994</v>
      </c>
      <c r="H67" s="686">
        <f t="shared" si="17"/>
        <v>-0.41027990013135424</v>
      </c>
      <c r="I67" s="1028">
        <f t="shared" si="18"/>
        <v>-0.69072206787185042</v>
      </c>
      <c r="J67" s="1311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113389.09000000001</v>
      </c>
      <c r="D70" s="699">
        <f>+Print_Mois!$Z$419-Print_Mois!$Z$415+Print_Mois!$Z$434+Print_Mois!$Z$435+Print_Mois!$Z$436</f>
        <v>111589.84738767278</v>
      </c>
      <c r="E70" s="699">
        <f>+Print_Mois!$AL$419-Print_Mois!$AL$415+Print_Mois!$AL$434+Print_Mois!$AL$435+Print_Mois!$AL$436</f>
        <v>162195.28999999989</v>
      </c>
      <c r="F70" s="700">
        <f t="shared" ref="F70:G77" si="19">+IFERROR($C70-D70,"")</f>
        <v>1799.2426123272307</v>
      </c>
      <c r="G70" s="701">
        <f t="shared" si="19"/>
        <v>-48806.199999999881</v>
      </c>
      <c r="H70" s="676">
        <f t="shared" ref="H70:H77" si="20">+IFERROR(F70/ABS($D70),"")</f>
        <v>1.6123712456353724E-2</v>
      </c>
      <c r="I70" s="1027">
        <f t="shared" ref="I70:I77" si="21">+IFERROR(G70/ABS($E70),"")</f>
        <v>-0.30091009424502962</v>
      </c>
      <c r="J70" s="1309"/>
    </row>
    <row r="71" spans="2:25">
      <c r="B71" s="698" t="s">
        <v>1936</v>
      </c>
      <c r="C71" s="692">
        <f>+C70/Print_Mois!$AF$407</f>
        <v>0.26370947341384127</v>
      </c>
      <c r="D71" s="692">
        <f>+D70/Print_Mois!$Z$407</f>
        <v>0.25608892278451317</v>
      </c>
      <c r="E71" s="692">
        <f>+E70/Print_Mois!$AL$407</f>
        <v>0.32732066953026095</v>
      </c>
      <c r="F71" s="676">
        <f t="shared" si="19"/>
        <v>7.6205506293280934E-3</v>
      </c>
      <c r="G71" s="677">
        <f t="shared" si="19"/>
        <v>-6.3611196116419688E-2</v>
      </c>
      <c r="H71" s="676">
        <f t="shared" si="20"/>
        <v>2.9757439511510733E-2</v>
      </c>
      <c r="I71" s="1027">
        <f t="shared" si="21"/>
        <v>-0.19433907491301525</v>
      </c>
      <c r="J71" s="1310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291205.26</v>
      </c>
      <c r="D72" s="673">
        <f>+Print_Mois!$Z$466+Print_Mois!$Z$433+Print_Mois!$Z$437+Print_Mois!$Z$439+SUM(Print_Mois!$Z$440:$Z$448)+Print_Mois!$Z$438</f>
        <v>281492.59122802975</v>
      </c>
      <c r="E72" s="673">
        <f>+Print_Mois!$AL$466+Print_Mois!$AL$433+Print_Mois!$AL$437+Print_Mois!$AL$439+SUM(Print_Mois!$AL$440:$AL$448)+Print_Mois!$AL$438</f>
        <v>289881.93000000005</v>
      </c>
      <c r="F72" s="702">
        <f t="shared" si="19"/>
        <v>9712.6687719702604</v>
      </c>
      <c r="G72" s="703">
        <f t="shared" si="19"/>
        <v>1323.3299999999581</v>
      </c>
      <c r="H72" s="676">
        <f>+IFERROR(F72/ABS($D72),"")</f>
        <v>3.4504171955638728E-2</v>
      </c>
      <c r="I72" s="1027">
        <f t="shared" si="21"/>
        <v>4.5650655078774928E-3</v>
      </c>
      <c r="J72" s="1310"/>
    </row>
    <row r="73" spans="2:25">
      <c r="B73" s="698" t="s">
        <v>1938</v>
      </c>
      <c r="C73" s="692">
        <f>+C72/Print_Mois!$AF$407</f>
        <v>0.67725727201744657</v>
      </c>
      <c r="D73" s="692">
        <f>+D72/Print_Mois!$Z$407</f>
        <v>0.64600083383007501</v>
      </c>
      <c r="E73" s="692">
        <f>+E72/Print_Mois!$AL$407</f>
        <v>0.58500063357156873</v>
      </c>
      <c r="F73" s="676">
        <f t="shared" si="19"/>
        <v>3.125643818737156E-2</v>
      </c>
      <c r="G73" s="677">
        <f t="shared" si="19"/>
        <v>9.2256638445877837E-2</v>
      </c>
      <c r="H73" s="676">
        <f t="shared" si="20"/>
        <v>4.8384516784684674E-2</v>
      </c>
      <c r="I73" s="1027">
        <f t="shared" si="21"/>
        <v>0.15770348466569856</v>
      </c>
      <c r="J73" s="1310"/>
    </row>
    <row r="74" spans="2:25" s="707" customFormat="1">
      <c r="B74" s="582" t="s">
        <v>1932</v>
      </c>
      <c r="C74" s="574">
        <f>+Print_Mois!$AF$483+Print_Mois!$AF$415</f>
        <v>96662.880000000092</v>
      </c>
      <c r="D74" s="574">
        <f>+Print_Mois!$Z$483+Print_Mois!$Z$415</f>
        <v>154961.48005084685</v>
      </c>
      <c r="E74" s="574">
        <f>+Print_Mois!$AL$483+Print_Mois!$AL$415</f>
        <v>233921.88999999952</v>
      </c>
      <c r="F74" s="575">
        <f t="shared" si="19"/>
        <v>-58298.600050846755</v>
      </c>
      <c r="G74" s="576">
        <f t="shared" si="19"/>
        <v>-137259.00999999943</v>
      </c>
      <c r="H74" s="766">
        <f t="shared" si="20"/>
        <v>-0.37621349532617709</v>
      </c>
      <c r="I74" s="1032">
        <f t="shared" si="21"/>
        <v>-0.58677283258954394</v>
      </c>
      <c r="J74" s="1310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2.7230945205330672E-2</v>
      </c>
      <c r="D75" s="704">
        <f>+D74/Print_Mois!$Z$406</f>
        <v>4.0078634974354328E-2</v>
      </c>
      <c r="E75" s="704">
        <f>+E74/Print_Mois!$AL$406</f>
        <v>4.7633105240777331E-2</v>
      </c>
      <c r="F75" s="714">
        <f t="shared" si="19"/>
        <v>-1.2847689769023656E-2</v>
      </c>
      <c r="G75" s="715">
        <f t="shared" si="19"/>
        <v>-2.0402160035446659E-2</v>
      </c>
      <c r="H75" s="740">
        <f t="shared" si="20"/>
        <v>-0.32056205949241251</v>
      </c>
      <c r="I75" s="1024">
        <f t="shared" si="21"/>
        <v>-0.42831891669285832</v>
      </c>
      <c r="J75" s="1310"/>
    </row>
    <row r="76" spans="2:25" s="707" customFormat="1">
      <c r="B76" s="582" t="s">
        <v>1933</v>
      </c>
      <c r="C76" s="574">
        <f>+Print_Mois!$AF$498</f>
        <v>54750.970000000096</v>
      </c>
      <c r="D76" s="574">
        <f>+Print_Mois!$Z$498</f>
        <v>109818.95581501084</v>
      </c>
      <c r="E76" s="574">
        <f>+Print_Mois!$AL$498</f>
        <v>177525.75999999954</v>
      </c>
      <c r="F76" s="575">
        <f t="shared" si="19"/>
        <v>-55067.985815010739</v>
      </c>
      <c r="G76" s="576">
        <f t="shared" si="19"/>
        <v>-122774.78999999946</v>
      </c>
      <c r="H76" s="766">
        <f t="shared" si="20"/>
        <v>-0.50144335653466177</v>
      </c>
      <c r="I76" s="1032">
        <f t="shared" si="21"/>
        <v>-0.69158858973480675</v>
      </c>
      <c r="J76" s="1310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1.5423921406114783E-2</v>
      </c>
      <c r="D77" s="706">
        <f>+D76/Print_Mois!$Z$406</f>
        <v>2.8403147943155651E-2</v>
      </c>
      <c r="E77" s="706">
        <f>+E76/Print_Mois!$AL$406</f>
        <v>3.6149259947536226E-2</v>
      </c>
      <c r="F77" s="716">
        <f t="shared" si="19"/>
        <v>-1.2979226537040868E-2</v>
      </c>
      <c r="G77" s="717">
        <f t="shared" si="19"/>
        <v>-2.0725338541421445E-2</v>
      </c>
      <c r="H77" s="744">
        <f t="shared" si="20"/>
        <v>-0.45696436757702741</v>
      </c>
      <c r="I77" s="1034">
        <f t="shared" si="21"/>
        <v>-0.57332677270572985</v>
      </c>
      <c r="J77" s="1311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C3" sqref="C1:F1048576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313" t="str">
        <f>Parametres!B3</f>
        <v>Novembre</v>
      </c>
      <c r="D4" s="1314"/>
      <c r="E4" s="1314"/>
      <c r="F4" s="1314"/>
      <c r="G4" s="1314"/>
      <c r="H4" s="1314"/>
      <c r="I4" s="1315"/>
    </row>
    <row r="5" spans="2:9" s="1156" customFormat="1" ht="30.75" thickBot="1">
      <c r="C5" s="1274" t="s">
        <v>2946</v>
      </c>
      <c r="D5" s="1157" t="s">
        <v>2868</v>
      </c>
      <c r="E5" s="1172" t="s">
        <v>2949</v>
      </c>
      <c r="F5" s="1158" t="s">
        <v>6</v>
      </c>
      <c r="G5" s="1172" t="s">
        <v>2950</v>
      </c>
      <c r="H5" s="1158">
        <v>2024</v>
      </c>
      <c r="I5" s="1172" t="s">
        <v>2951</v>
      </c>
    </row>
    <row r="6" spans="2:9" s="1156" customFormat="1">
      <c r="B6" s="1161" t="s">
        <v>2957</v>
      </c>
      <c r="C6" s="1163">
        <f>Print_Mois!J27</f>
        <v>12</v>
      </c>
      <c r="D6" s="1164">
        <f>Print_Mois!W28</f>
        <v>0</v>
      </c>
      <c r="E6" s="1173">
        <f t="shared" ref="E6:E15" si="0">C6-D6</f>
        <v>12</v>
      </c>
      <c r="F6" s="1165">
        <f>Print_Mois!D27</f>
        <v>21</v>
      </c>
      <c r="G6" s="1173">
        <f t="shared" ref="G6:G7" si="1">C6-F6</f>
        <v>-9</v>
      </c>
      <c r="H6" s="1166">
        <f>Print_Mois!O27</f>
        <v>37</v>
      </c>
      <c r="I6" s="1173">
        <f t="shared" ref="I6:I15" si="2">C6-H6</f>
        <v>-25</v>
      </c>
    </row>
    <row r="7" spans="2:9" s="1156" customFormat="1" ht="15" thickBot="1">
      <c r="B7" s="1162" t="s">
        <v>2958</v>
      </c>
      <c r="C7" s="1167">
        <f>Print_Mois!J97</f>
        <v>18</v>
      </c>
      <c r="D7" s="1168">
        <f>Print_Mois!W109</f>
        <v>0</v>
      </c>
      <c r="E7" s="1174">
        <f t="shared" si="0"/>
        <v>18</v>
      </c>
      <c r="F7" s="1169">
        <f>Print_Mois!D97</f>
        <v>18</v>
      </c>
      <c r="G7" s="1174">
        <f t="shared" si="1"/>
        <v>0</v>
      </c>
      <c r="H7" s="1170">
        <f>Print_Mois!O97</f>
        <v>7</v>
      </c>
      <c r="I7" s="1174">
        <f t="shared" si="2"/>
        <v>11</v>
      </c>
    </row>
    <row r="8" spans="2:9">
      <c r="B8" s="1144" t="s">
        <v>2943</v>
      </c>
      <c r="C8" s="1275">
        <f>Print_Mois!L27</f>
        <v>68632.590000000084</v>
      </c>
      <c r="D8" s="1147">
        <f>Print_Mois!W27</f>
        <v>0</v>
      </c>
      <c r="E8" s="1175">
        <f t="shared" si="0"/>
        <v>68632.590000000084</v>
      </c>
      <c r="F8" s="1148">
        <f>Print_Mois!F27</f>
        <v>113063.19448096347</v>
      </c>
      <c r="G8" s="1175">
        <f>C8-F8</f>
        <v>-44430.60448096339</v>
      </c>
      <c r="H8" s="1148">
        <f>Print_Mois!Q27</f>
        <v>185272.03999999995</v>
      </c>
      <c r="I8" s="1175">
        <f t="shared" si="2"/>
        <v>-116639.44999999987</v>
      </c>
    </row>
    <row r="9" spans="2:9">
      <c r="B9" s="1144" t="s">
        <v>2944</v>
      </c>
      <c r="C9" s="1275">
        <f>Print_Mois!L108</f>
        <v>57140.630000000034</v>
      </c>
      <c r="D9" s="1147">
        <f>Print_Mois!W108</f>
        <v>0</v>
      </c>
      <c r="E9" s="1175">
        <f t="shared" si="0"/>
        <v>57140.630000000034</v>
      </c>
      <c r="F9" s="1148">
        <f>Print_Mois!F108</f>
        <v>64450</v>
      </c>
      <c r="G9" s="1175">
        <f t="shared" ref="G9:G15" si="3">C9-F9</f>
        <v>-7309.3699999999662</v>
      </c>
      <c r="H9" s="1148">
        <f>Print_Mois!Q108</f>
        <v>44320.82999999998</v>
      </c>
      <c r="I9" s="1175">
        <f t="shared" si="2"/>
        <v>12819.800000000054</v>
      </c>
    </row>
    <row r="10" spans="2:9">
      <c r="B10" s="1144" t="s">
        <v>2947</v>
      </c>
      <c r="C10" s="1275">
        <f>Print_Mois!L194</f>
        <v>161150.26999999999</v>
      </c>
      <c r="D10" s="1147">
        <f>Print_Mois!W194</f>
        <v>0</v>
      </c>
      <c r="E10" s="1175">
        <f t="shared" si="0"/>
        <v>161150.26999999999</v>
      </c>
      <c r="F10" s="1148">
        <f>Print_Mois!F194</f>
        <v>138661.6695372574</v>
      </c>
      <c r="G10" s="1175">
        <f t="shared" si="3"/>
        <v>22488.600462742586</v>
      </c>
      <c r="H10" s="1148">
        <f>Print_Mois!Q194+Print_Mois!Q250</f>
        <v>137457.99999999971</v>
      </c>
      <c r="I10" s="1175">
        <f t="shared" si="2"/>
        <v>23692.270000000281</v>
      </c>
    </row>
    <row r="11" spans="2:9" ht="15" thickBot="1">
      <c r="B11" s="1144" t="s">
        <v>2948</v>
      </c>
      <c r="C11" s="1275">
        <f>+Print_Mois!L314</f>
        <v>143053.82</v>
      </c>
      <c r="D11" s="1147">
        <f>Print_Mois!W314</f>
        <v>0</v>
      </c>
      <c r="E11" s="1175">
        <f t="shared" si="0"/>
        <v>143053.82</v>
      </c>
      <c r="F11" s="1148">
        <f>+Print_Mois!F314</f>
        <v>119571.61878287405</v>
      </c>
      <c r="G11" s="1175">
        <f t="shared" si="3"/>
        <v>23482.201217125956</v>
      </c>
      <c r="H11" s="1148">
        <f>+Print_Mois!Q314</f>
        <v>128473.25999999986</v>
      </c>
      <c r="I11" s="1175">
        <f t="shared" si="2"/>
        <v>14580.560000000143</v>
      </c>
    </row>
    <row r="12" spans="2:9" ht="15" thickTop="1">
      <c r="B12" s="1152" t="s">
        <v>2945</v>
      </c>
      <c r="C12" s="1276">
        <f>SUM(C8:C11)</f>
        <v>429977.31000000011</v>
      </c>
      <c r="D12" s="1153">
        <f>SUM(D8:D11)</f>
        <v>0</v>
      </c>
      <c r="E12" s="1176">
        <f>C12-D12</f>
        <v>429977.31000000011</v>
      </c>
      <c r="F12" s="1154">
        <f>SUM(F8:F11)</f>
        <v>435746.48280109488</v>
      </c>
      <c r="G12" s="1176">
        <f t="shared" si="3"/>
        <v>-5769.17280109477</v>
      </c>
      <c r="H12" s="1154">
        <f>SUM(H8:H11)</f>
        <v>495524.12999999954</v>
      </c>
      <c r="I12" s="1176">
        <f t="shared" si="2"/>
        <v>-65546.819999999425</v>
      </c>
    </row>
    <row r="13" spans="2:9">
      <c r="B13" s="1144" t="s">
        <v>2942</v>
      </c>
      <c r="C13" s="1275">
        <f>Print_Mois!AF481</f>
        <v>71279.92</v>
      </c>
      <c r="D13" s="1147">
        <f>Print_Mois!AR481</f>
        <v>0</v>
      </c>
      <c r="E13" s="1175">
        <f t="shared" si="0"/>
        <v>71279.92</v>
      </c>
      <c r="F13" s="1148">
        <f>Print_Mois!Z481</f>
        <v>112297.43586545455</v>
      </c>
      <c r="G13" s="1175">
        <f t="shared" si="3"/>
        <v>-41017.515865454552</v>
      </c>
      <c r="H13" s="1148">
        <f>Print_Mois!AL481</f>
        <v>190474.98</v>
      </c>
      <c r="I13" s="1175">
        <f t="shared" si="2"/>
        <v>-119195.06000000001</v>
      </c>
    </row>
    <row r="14" spans="2:9">
      <c r="B14" s="1144" t="s">
        <v>2941</v>
      </c>
      <c r="C14" s="1275">
        <f>-Print_Mois!AF468+Print_Mois!AF415</f>
        <v>-404594.35000000003</v>
      </c>
      <c r="D14" s="1147">
        <f>-Print_Mois!AR468</f>
        <v>0</v>
      </c>
      <c r="E14" s="1175">
        <f t="shared" si="0"/>
        <v>-404594.35000000003</v>
      </c>
      <c r="F14" s="1148">
        <f>-Print_Mois!Z468+Print_Mois!Z415</f>
        <v>-393082.43861570256</v>
      </c>
      <c r="G14" s="1175">
        <f t="shared" si="3"/>
        <v>-11511.911384297477</v>
      </c>
      <c r="H14" s="1148">
        <f>-Print_Mois!AL468+Print_Mois!AL415</f>
        <v>-452077.21999999991</v>
      </c>
      <c r="I14" s="1175">
        <f t="shared" si="2"/>
        <v>47482.869999999879</v>
      </c>
    </row>
    <row r="15" spans="2:9" ht="15" thickBot="1">
      <c r="B15" s="1144" t="s">
        <v>2961</v>
      </c>
      <c r="C15" s="1275">
        <f>-SUM(Print_Mois!AF491:AF497)-Print_Mois!AF415</f>
        <v>-41911.910000000003</v>
      </c>
      <c r="D15" s="1147">
        <f>-Print_Mois!AR498</f>
        <v>0</v>
      </c>
      <c r="E15" s="1175">
        <f t="shared" si="0"/>
        <v>-41911.910000000003</v>
      </c>
      <c r="F15" s="1148">
        <f>-SUM(Print_Mois!Z491:Z497)-Print_Mois!Z415</f>
        <v>-45142.524235836012</v>
      </c>
      <c r="G15" s="1175">
        <f t="shared" si="3"/>
        <v>3230.6142358360084</v>
      </c>
      <c r="H15" s="1148">
        <f>-SUM(Print_Mois!AL491:AL497)-Print_Mois!AL415</f>
        <v>-56396.13</v>
      </c>
      <c r="I15" s="1175">
        <f t="shared" si="2"/>
        <v>14484.219999999994</v>
      </c>
    </row>
    <row r="16" spans="2:9" ht="16.5" thickTop="1" thickBot="1">
      <c r="B16" s="1149" t="s">
        <v>2826</v>
      </c>
      <c r="C16" s="1277">
        <f t="shared" ref="C16:I16" si="4">SUM(C12:C15)</f>
        <v>54750.970000000059</v>
      </c>
      <c r="D16" s="1150">
        <f t="shared" si="4"/>
        <v>0</v>
      </c>
      <c r="E16" s="1178">
        <f t="shared" si="4"/>
        <v>54750.970000000059</v>
      </c>
      <c r="F16" s="1151">
        <f t="shared" si="4"/>
        <v>109818.95581501092</v>
      </c>
      <c r="G16" s="1178">
        <f t="shared" si="4"/>
        <v>-55067.98581501079</v>
      </c>
      <c r="H16" s="1151">
        <f t="shared" si="4"/>
        <v>177525.7599999996</v>
      </c>
      <c r="I16" s="1178">
        <f t="shared" si="4"/>
        <v>-122774.78999999954</v>
      </c>
    </row>
    <row r="17" spans="2:7" ht="15" thickBot="1"/>
    <row r="18" spans="2:7" ht="21" thickBot="1">
      <c r="C18" s="1313" t="str">
        <f>CONCATENATE("Année à date ",Parametres!B3)</f>
        <v>Année à date Novembre</v>
      </c>
      <c r="D18" s="1314"/>
      <c r="E18" s="1314"/>
      <c r="F18" s="1314"/>
      <c r="G18" s="1315"/>
    </row>
    <row r="19" spans="2:7" ht="30.75" thickBot="1">
      <c r="B19" s="1156"/>
      <c r="C19" s="1157" t="s">
        <v>2959</v>
      </c>
      <c r="D19" s="1157" t="s">
        <v>2962</v>
      </c>
      <c r="E19" s="1172" t="s">
        <v>2950</v>
      </c>
      <c r="F19" s="1158" t="s">
        <v>2963</v>
      </c>
      <c r="G19" s="1172" t="s">
        <v>2951</v>
      </c>
    </row>
    <row r="20" spans="2:7">
      <c r="B20" s="1161" t="s">
        <v>2957</v>
      </c>
      <c r="C20" s="1163">
        <f>Print_AAD!J27</f>
        <v>240</v>
      </c>
      <c r="D20" s="1165">
        <f>Print_AAD!D27</f>
        <v>257</v>
      </c>
      <c r="E20" s="1173">
        <f t="shared" ref="E20:E29" si="5">C20-D20</f>
        <v>-17</v>
      </c>
      <c r="F20" s="1166">
        <f>Print_AAD!O27</f>
        <v>245</v>
      </c>
      <c r="G20" s="1173">
        <f t="shared" ref="G20:G29" si="6">C20-F20</f>
        <v>-5</v>
      </c>
    </row>
    <row r="21" spans="2:7" ht="15" thickBot="1">
      <c r="B21" s="1162" t="s">
        <v>2958</v>
      </c>
      <c r="C21" s="1167">
        <f>Print_AAD!J97</f>
        <v>182</v>
      </c>
      <c r="D21" s="1169">
        <f>Print_AAD!D97</f>
        <v>213</v>
      </c>
      <c r="E21" s="1174">
        <f t="shared" si="5"/>
        <v>-31</v>
      </c>
      <c r="F21" s="1170">
        <f>Print_AAD!O97</f>
        <v>185</v>
      </c>
      <c r="G21" s="1174">
        <f t="shared" si="6"/>
        <v>-3</v>
      </c>
    </row>
    <row r="22" spans="2:7">
      <c r="B22" s="1143" t="s">
        <v>2943</v>
      </c>
      <c r="C22" s="1145">
        <f>Print_AAD!L27</f>
        <v>1429172.6999999969</v>
      </c>
      <c r="D22" s="1145">
        <f>Print_AAD!F27</f>
        <v>1381722.2094425852</v>
      </c>
      <c r="E22" s="1177">
        <f t="shared" si="5"/>
        <v>47450.490557411686</v>
      </c>
      <c r="F22" s="1146">
        <f>Print_AAD!Q27</f>
        <v>1464182.6099999987</v>
      </c>
      <c r="G22" s="1177">
        <f t="shared" si="6"/>
        <v>-35009.910000001779</v>
      </c>
    </row>
    <row r="23" spans="2:7">
      <c r="B23" s="1144" t="s">
        <v>2944</v>
      </c>
      <c r="C23" s="1147">
        <f>Print_AAD!L108</f>
        <v>701541.04999999993</v>
      </c>
      <c r="D23" s="1147">
        <f>Print_AAD!F108</f>
        <v>765400</v>
      </c>
      <c r="E23" s="1175">
        <f t="shared" si="5"/>
        <v>-63858.95000000007</v>
      </c>
      <c r="F23" s="1148">
        <f>Print_AAD!Q108</f>
        <v>673696.83999999915</v>
      </c>
      <c r="G23" s="1175">
        <f t="shared" si="6"/>
        <v>27844.210000000778</v>
      </c>
    </row>
    <row r="24" spans="2:7">
      <c r="B24" s="1144" t="s">
        <v>2947</v>
      </c>
      <c r="C24" s="1147">
        <f>Print_AAD!L194</f>
        <v>1388372.43</v>
      </c>
      <c r="D24" s="1147">
        <f>Print_AAD!F194</f>
        <v>1117539.0880847019</v>
      </c>
      <c r="E24" s="1175">
        <f t="shared" si="5"/>
        <v>270833.34191529802</v>
      </c>
      <c r="F24" s="1148">
        <f>Print_AAD!Q194+Print_AAD!Q250</f>
        <v>1035102.009999999</v>
      </c>
      <c r="G24" s="1175">
        <f t="shared" si="6"/>
        <v>353270.42000000097</v>
      </c>
    </row>
    <row r="25" spans="2:7" ht="15" thickBot="1">
      <c r="B25" s="1144" t="s">
        <v>2948</v>
      </c>
      <c r="C25" s="1147">
        <f>Print_AAD!L314</f>
        <v>1109341.26</v>
      </c>
      <c r="D25" s="1147">
        <f>Print_AAD!F314</f>
        <v>1003786.8897629918</v>
      </c>
      <c r="E25" s="1175">
        <f t="shared" si="5"/>
        <v>105554.3702370082</v>
      </c>
      <c r="F25" s="1148">
        <f>Print_AAD!Q314</f>
        <v>974774.23999999813</v>
      </c>
      <c r="G25" s="1175">
        <f t="shared" si="6"/>
        <v>134567.02000000188</v>
      </c>
    </row>
    <row r="26" spans="2:7" ht="15" thickTop="1">
      <c r="B26" s="1152" t="s">
        <v>2945</v>
      </c>
      <c r="C26" s="1153">
        <f>SUM(C22:C25)</f>
        <v>4628427.4399999967</v>
      </c>
      <c r="D26" s="1153">
        <f>SUM(D22:D25)</f>
        <v>4268448.1872902792</v>
      </c>
      <c r="E26" s="1176">
        <f t="shared" si="5"/>
        <v>359979.25270971749</v>
      </c>
      <c r="F26" s="1154">
        <f>SUM(F22:F25)</f>
        <v>4147755.6999999946</v>
      </c>
      <c r="G26" s="1176">
        <f t="shared" si="6"/>
        <v>480671.74000000209</v>
      </c>
    </row>
    <row r="27" spans="2:7">
      <c r="B27" s="1144" t="s">
        <v>2942</v>
      </c>
      <c r="C27" s="1147">
        <f>Print_AAD!AF481</f>
        <v>1306444</v>
      </c>
      <c r="D27" s="1147">
        <f>Print_AAD!Z481</f>
        <v>1367714.297258182</v>
      </c>
      <c r="E27" s="1175">
        <f t="shared" si="5"/>
        <v>-61270.297258181963</v>
      </c>
      <c r="F27" s="1148">
        <f>Print_AAD!AL481</f>
        <v>1486091.5199999998</v>
      </c>
      <c r="G27" s="1175">
        <f t="shared" si="6"/>
        <v>-179647.51999999979</v>
      </c>
    </row>
    <row r="28" spans="2:7">
      <c r="B28" s="1144" t="s">
        <v>2941</v>
      </c>
      <c r="C28" s="1147">
        <f>-Print_AAD!AF468+Print_AAD!AF415</f>
        <v>-4579877.7299999995</v>
      </c>
      <c r="D28" s="1147">
        <f>-Print_AAD!Z468+Print_AAD!Z415</f>
        <v>-4476316.4501102949</v>
      </c>
      <c r="E28" s="1175">
        <f t="shared" si="5"/>
        <v>-103561.27988970466</v>
      </c>
      <c r="F28" s="1148">
        <f>-Print_AAD!AL468+Print_AAD!AL415</f>
        <v>-4354932.9699999988</v>
      </c>
      <c r="G28" s="1175">
        <f t="shared" si="6"/>
        <v>-224944.76000000071</v>
      </c>
    </row>
    <row r="29" spans="2:7" ht="15" thickBot="1">
      <c r="B29" s="1144" t="s">
        <v>2961</v>
      </c>
      <c r="C29" s="1147">
        <f>-Print_AAD!AF491-Print_AAD!AF496-Print_AAD!AF415</f>
        <v>-476042.56</v>
      </c>
      <c r="D29" s="1147">
        <f>-Print_AAD!Z491-Print_AAD!Z496-Print_AAD!Z415</f>
        <v>-536399.61511454172</v>
      </c>
      <c r="E29" s="1175">
        <f t="shared" si="5"/>
        <v>60357.055114541727</v>
      </c>
      <c r="F29" s="1148">
        <f>-Print_AAD!AL491-Print_AAD!AL496-Print_AAD!AL415</f>
        <v>-583335.11</v>
      </c>
      <c r="G29" s="1175">
        <f t="shared" si="6"/>
        <v>107292.54999999999</v>
      </c>
    </row>
    <row r="30" spans="2:7" ht="16.5" thickTop="1" thickBot="1">
      <c r="B30" s="1149" t="s">
        <v>2826</v>
      </c>
      <c r="C30" s="1150">
        <f t="shared" ref="C30:G30" si="7">SUM(C26:C29)</f>
        <v>878951.14999999711</v>
      </c>
      <c r="D30" s="1150">
        <f t="shared" si="7"/>
        <v>623446.41932362411</v>
      </c>
      <c r="E30" s="1178">
        <f t="shared" si="7"/>
        <v>255504.73067637259</v>
      </c>
      <c r="F30" s="1151">
        <f t="shared" si="7"/>
        <v>695579.13999999536</v>
      </c>
      <c r="G30" s="1178">
        <f t="shared" si="7"/>
        <v>183372.01000000158</v>
      </c>
    </row>
    <row r="31" spans="2:7" ht="15" thickBot="1"/>
    <row r="32" spans="2:7" ht="21" thickBot="1">
      <c r="C32" s="1313" t="s">
        <v>3014</v>
      </c>
      <c r="D32" s="1314"/>
      <c r="E32" s="1314"/>
      <c r="F32" s="1314"/>
      <c r="G32" s="1315"/>
    </row>
    <row r="33" spans="2:7" ht="30.75" thickBot="1">
      <c r="B33" s="1156"/>
      <c r="C33" s="1157" t="s">
        <v>2988</v>
      </c>
      <c r="D33" s="1157" t="s">
        <v>2990</v>
      </c>
      <c r="E33" s="1172" t="s">
        <v>2950</v>
      </c>
      <c r="F33" s="1158" t="s">
        <v>2989</v>
      </c>
      <c r="G33" s="1172" t="s">
        <v>2951</v>
      </c>
    </row>
    <row r="34" spans="2:7">
      <c r="B34" s="1161" t="s">
        <v>2957</v>
      </c>
      <c r="C34" s="1163">
        <f>'Q3'!J27</f>
        <v>56</v>
      </c>
      <c r="D34" s="1165">
        <f>'Q3'!D27</f>
        <v>65</v>
      </c>
      <c r="E34" s="1173">
        <f t="shared" ref="E34:E43" si="8">C34-D34</f>
        <v>-9</v>
      </c>
      <c r="F34" s="1166">
        <f>'Q3'!O27</f>
        <v>58</v>
      </c>
      <c r="G34" s="1173">
        <f t="shared" ref="G34:G43" si="9">C34-F34</f>
        <v>-2</v>
      </c>
    </row>
    <row r="35" spans="2:7" ht="15" thickBot="1">
      <c r="B35" s="1162" t="s">
        <v>2958</v>
      </c>
      <c r="C35" s="1167">
        <f>'Q3'!J97</f>
        <v>44</v>
      </c>
      <c r="D35" s="1169">
        <f>'Q3'!D97</f>
        <v>63</v>
      </c>
      <c r="E35" s="1174">
        <f t="shared" si="8"/>
        <v>-19</v>
      </c>
      <c r="F35" s="1170">
        <f>'Q3'!O97</f>
        <v>54</v>
      </c>
      <c r="G35" s="1174">
        <f t="shared" si="9"/>
        <v>-10</v>
      </c>
    </row>
    <row r="36" spans="2:7">
      <c r="B36" s="1143" t="s">
        <v>2943</v>
      </c>
      <c r="C36" s="1145">
        <f>'Q3'!L27</f>
        <v>326564.40000000002</v>
      </c>
      <c r="D36" s="1145">
        <f>'Q3'!F27</f>
        <v>348933.47566909145</v>
      </c>
      <c r="E36" s="1177">
        <f t="shared" si="8"/>
        <v>-22369.075669091428</v>
      </c>
      <c r="F36" s="1146">
        <f>'Q3'!Q27</f>
        <v>341892.38999999937</v>
      </c>
      <c r="G36" s="1177">
        <f t="shared" si="9"/>
        <v>-15327.98999999935</v>
      </c>
    </row>
    <row r="37" spans="2:7">
      <c r="B37" s="1144" t="s">
        <v>2944</v>
      </c>
      <c r="C37" s="1147">
        <f>'Q3'!L108</f>
        <v>147940.90999999997</v>
      </c>
      <c r="D37" s="1147">
        <f>'Q3'!F108</f>
        <v>226800</v>
      </c>
      <c r="E37" s="1175">
        <f t="shared" si="8"/>
        <v>-78859.090000000026</v>
      </c>
      <c r="F37" s="1148">
        <f>'Q3'!Q108</f>
        <v>184032.50999999978</v>
      </c>
      <c r="G37" s="1175">
        <f t="shared" si="9"/>
        <v>-36091.599999999802</v>
      </c>
    </row>
    <row r="38" spans="2:7">
      <c r="B38" s="1144" t="s">
        <v>2947</v>
      </c>
      <c r="C38" s="1147">
        <f>'Q3'!L194+'Q3'!L250</f>
        <v>359854.26999999996</v>
      </c>
      <c r="D38" s="1147">
        <f>'Q3'!F194</f>
        <v>288781.92808234587</v>
      </c>
      <c r="E38" s="1175">
        <f t="shared" si="8"/>
        <v>71072.341917654092</v>
      </c>
      <c r="F38" s="1148">
        <f>'Q3'!Q194+'Q3'!Q250</f>
        <v>264658.05999999976</v>
      </c>
      <c r="G38" s="1175">
        <f t="shared" si="9"/>
        <v>95196.210000000196</v>
      </c>
    </row>
    <row r="39" spans="2:7" ht="15" thickBot="1">
      <c r="B39" s="1144" t="s">
        <v>2948</v>
      </c>
      <c r="C39" s="1147">
        <f>'Q3'!L314</f>
        <v>284289.85000000003</v>
      </c>
      <c r="D39" s="1147">
        <f>'Q3'!F314</f>
        <v>267554.72640354349</v>
      </c>
      <c r="E39" s="1175">
        <f t="shared" si="8"/>
        <v>16735.123596456542</v>
      </c>
      <c r="F39" s="1148">
        <f>'Q3'!Q314</f>
        <v>242648.23999999929</v>
      </c>
      <c r="G39" s="1175">
        <f t="shared" si="9"/>
        <v>41641.610000000743</v>
      </c>
    </row>
    <row r="40" spans="2:7" ht="15" thickTop="1">
      <c r="B40" s="1152" t="s">
        <v>2945</v>
      </c>
      <c r="C40" s="1153">
        <f>SUM(C36:C39)</f>
        <v>1118649.43</v>
      </c>
      <c r="D40" s="1153">
        <f>SUM(D36:D39)</f>
        <v>1132070.1301549808</v>
      </c>
      <c r="E40" s="1176">
        <f t="shared" si="8"/>
        <v>-13420.700154980877</v>
      </c>
      <c r="F40" s="1154">
        <f>SUM(F36:F39)</f>
        <v>1033231.1999999983</v>
      </c>
      <c r="G40" s="1176">
        <f t="shared" si="9"/>
        <v>85418.230000001611</v>
      </c>
    </row>
    <row r="41" spans="2:7">
      <c r="B41" s="1144" t="s">
        <v>2942</v>
      </c>
      <c r="C41" s="1147">
        <f>'Q3'!AF481</f>
        <v>286755.76</v>
      </c>
      <c r="D41" s="1147">
        <f>'Q3'!Z481</f>
        <v>351835.41934545455</v>
      </c>
      <c r="E41" s="1175">
        <f t="shared" si="8"/>
        <v>-65079.659345454536</v>
      </c>
      <c r="F41" s="1148">
        <f>'Q3'!AL481</f>
        <v>321148.83999999997</v>
      </c>
      <c r="G41" s="1175">
        <f t="shared" si="9"/>
        <v>-34393.079999999958</v>
      </c>
    </row>
    <row r="42" spans="2:7">
      <c r="B42" s="1144" t="s">
        <v>2941</v>
      </c>
      <c r="C42" s="1147">
        <f>-'Q3'!AF468+'Q3'!AF415</f>
        <v>-1173970.97</v>
      </c>
      <c r="D42" s="1147">
        <f>-'Q3'!Z468+'Q3'!Z415</f>
        <v>-1205682.9484484862</v>
      </c>
      <c r="E42" s="1175">
        <f t="shared" si="8"/>
        <v>31711.978448486188</v>
      </c>
      <c r="F42" s="1148">
        <f>-'Q3'!AL468+'Q3'!AL415</f>
        <v>-1114700.0099999998</v>
      </c>
      <c r="G42" s="1175">
        <f t="shared" si="9"/>
        <v>-59270.960000000196</v>
      </c>
    </row>
    <row r="43" spans="2:7" ht="15" thickBot="1">
      <c r="B43" s="1144" t="s">
        <v>2961</v>
      </c>
      <c r="C43" s="1147">
        <f>-'Q3'!AF491-'Q3'!AF496-'Q3'!AF415</f>
        <v>-123080.80000000002</v>
      </c>
      <c r="D43" s="1147">
        <f>-'Q3'!Z491-'Q3'!Z496-'Q3'!Z415</f>
        <v>-145151.28674768884</v>
      </c>
      <c r="E43" s="1175">
        <f t="shared" si="8"/>
        <v>22070.486747688818</v>
      </c>
      <c r="F43" s="1148">
        <f>-'Q3'!AL491-'Q3'!AL496-'Q3'!AL415</f>
        <v>-156754.43999999997</v>
      </c>
      <c r="G43" s="1175">
        <f t="shared" si="9"/>
        <v>33673.639999999956</v>
      </c>
    </row>
    <row r="44" spans="2:7" ht="16.5" thickTop="1" thickBot="1">
      <c r="B44" s="1149" t="s">
        <v>2826</v>
      </c>
      <c r="C44" s="1150">
        <f>SUM(C40:C43)</f>
        <v>108353.41999999995</v>
      </c>
      <c r="D44" s="1150">
        <f t="shared" ref="D44:G44" si="10">SUM(D40:D43)</f>
        <v>133071.31430426036</v>
      </c>
      <c r="E44" s="1178">
        <f t="shared" si="10"/>
        <v>-24717.894304260408</v>
      </c>
      <c r="F44" s="1151">
        <f t="shared" si="10"/>
        <v>82925.589999998425</v>
      </c>
      <c r="G44" s="1178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3012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300" t="s">
        <v>77</v>
      </c>
      <c r="E3" s="1301"/>
      <c r="F3" s="1302"/>
      <c r="G3" s="1303" t="s">
        <v>2982</v>
      </c>
      <c r="H3" s="1301"/>
      <c r="I3" s="1302"/>
      <c r="J3" s="1303" t="s">
        <v>78</v>
      </c>
      <c r="K3" s="1301"/>
      <c r="L3" s="1302"/>
      <c r="M3" s="1303" t="s">
        <v>2442</v>
      </c>
      <c r="N3" s="1302"/>
      <c r="O3" s="1300" t="s">
        <v>79</v>
      </c>
      <c r="P3" s="1301"/>
      <c r="Q3" s="1302"/>
      <c r="R3" s="1304" t="s">
        <v>2446</v>
      </c>
      <c r="S3" s="1305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3" t="s">
        <v>82</v>
      </c>
      <c r="F4" s="364" t="s">
        <v>83</v>
      </c>
      <c r="G4" s="365" t="s">
        <v>81</v>
      </c>
      <c r="H4" s="1223" t="s">
        <v>82</v>
      </c>
      <c r="I4" s="364" t="s">
        <v>83</v>
      </c>
      <c r="J4" s="365" t="s">
        <v>81</v>
      </c>
      <c r="K4" s="1223" t="s">
        <v>84</v>
      </c>
      <c r="L4" s="364" t="s">
        <v>83</v>
      </c>
      <c r="M4" s="365" t="s">
        <v>2443</v>
      </c>
      <c r="N4" s="364" t="s">
        <v>83</v>
      </c>
      <c r="O4" s="1223" t="s">
        <v>81</v>
      </c>
      <c r="P4" s="1223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9">
        <v>20</v>
      </c>
      <c r="E6" s="1179">
        <f>IF(D6=0,0,F6/D6)</f>
        <v>4306.395348837209</v>
      </c>
      <c r="F6" s="1179">
        <v>86127.906976744183</v>
      </c>
      <c r="G6" s="182">
        <v>0</v>
      </c>
      <c r="H6" s="1179">
        <f>IF(G6=0,0,I6/G6)</f>
        <v>0</v>
      </c>
      <c r="I6" s="1179">
        <v>0</v>
      </c>
      <c r="J6" s="182">
        <v>19</v>
      </c>
      <c r="K6" s="1179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9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9">
        <v>36</v>
      </c>
      <c r="E7" s="1179">
        <f t="shared" ref="E7:E12" si="4">IF(D7=0,0,F7/D7)</f>
        <v>4000.331125827814</v>
      </c>
      <c r="F7" s="1179">
        <v>144011.92052980131</v>
      </c>
      <c r="G7" s="182">
        <v>0</v>
      </c>
      <c r="H7" s="1179">
        <f t="shared" ref="H7:H12" si="5">IF(G7=0,0,I7/G7)</f>
        <v>0</v>
      </c>
      <c r="I7" s="1179">
        <v>0</v>
      </c>
      <c r="J7" s="182">
        <v>27</v>
      </c>
      <c r="K7" s="1179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9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9">
        <v>0</v>
      </c>
      <c r="E8" s="1179">
        <f t="shared" si="4"/>
        <v>0</v>
      </c>
      <c r="F8" s="1179">
        <v>0</v>
      </c>
      <c r="G8" s="182">
        <v>0</v>
      </c>
      <c r="H8" s="1179">
        <f t="shared" si="5"/>
        <v>0</v>
      </c>
      <c r="I8" s="1179">
        <v>0</v>
      </c>
      <c r="J8" s="182">
        <v>0</v>
      </c>
      <c r="K8" s="1179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9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9">
        <v>0</v>
      </c>
      <c r="E9" s="1179">
        <f t="shared" si="4"/>
        <v>0</v>
      </c>
      <c r="F9" s="1179">
        <v>0</v>
      </c>
      <c r="G9" s="182">
        <v>0</v>
      </c>
      <c r="H9" s="1179">
        <f t="shared" si="5"/>
        <v>0</v>
      </c>
      <c r="I9" s="1179">
        <v>0</v>
      </c>
      <c r="J9" s="182">
        <v>0</v>
      </c>
      <c r="K9" s="1179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9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9">
        <v>0</v>
      </c>
      <c r="E10" s="1179">
        <f t="shared" si="4"/>
        <v>0</v>
      </c>
      <c r="F10" s="1179">
        <v>0</v>
      </c>
      <c r="G10" s="182">
        <v>0</v>
      </c>
      <c r="H10" s="1179">
        <f t="shared" si="5"/>
        <v>0</v>
      </c>
      <c r="I10" s="1179">
        <v>0</v>
      </c>
      <c r="J10" s="182">
        <v>0</v>
      </c>
      <c r="K10" s="1179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9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9">
        <v>0</v>
      </c>
      <c r="E11" s="1179">
        <f t="shared" si="4"/>
        <v>0</v>
      </c>
      <c r="F11" s="1179">
        <v>0</v>
      </c>
      <c r="G11" s="182">
        <v>0</v>
      </c>
      <c r="H11" s="1179">
        <f t="shared" si="5"/>
        <v>0</v>
      </c>
      <c r="I11" s="1179">
        <v>0</v>
      </c>
      <c r="J11" s="182">
        <v>0</v>
      </c>
      <c r="K11" s="1179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9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9">
        <v>0</v>
      </c>
      <c r="E12" s="1179">
        <f t="shared" si="4"/>
        <v>0</v>
      </c>
      <c r="F12" s="1179">
        <v>0</v>
      </c>
      <c r="G12" s="182">
        <v>0</v>
      </c>
      <c r="H12" s="1179">
        <f t="shared" si="5"/>
        <v>0</v>
      </c>
      <c r="I12" s="1179">
        <v>0</v>
      </c>
      <c r="J12" s="182">
        <v>0</v>
      </c>
      <c r="K12" s="1179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9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9"/>
      <c r="F14" s="265"/>
      <c r="G14" s="223"/>
      <c r="H14" s="1179"/>
      <c r="I14" s="265"/>
      <c r="J14" s="223"/>
      <c r="K14" s="1179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9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4">
        <f>IF(J15=0,0,L15/J15)</f>
        <v>2338.0988888888874</v>
      </c>
      <c r="L15" s="1224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4">
        <f>IF(O15=0,0,Q15/O15)</f>
        <v>1657.5529999999958</v>
      </c>
      <c r="Q15" s="1224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9"/>
      <c r="F16" s="265"/>
      <c r="G16" s="223"/>
      <c r="H16" s="1179"/>
      <c r="I16" s="265"/>
      <c r="J16" s="223"/>
      <c r="K16" s="1179"/>
      <c r="L16" s="180"/>
      <c r="M16" s="235"/>
      <c r="N16" s="234"/>
      <c r="O16" s="223"/>
      <c r="P16" s="1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9">
        <v>1</v>
      </c>
      <c r="E17" s="1179">
        <f>IF(D17=0,0,F17/D17)</f>
        <v>0</v>
      </c>
      <c r="F17" s="1179">
        <v>0</v>
      </c>
      <c r="G17" s="182">
        <v>0</v>
      </c>
      <c r="H17" s="1179">
        <f>IF(G17=0,0,I17/G17)</f>
        <v>0</v>
      </c>
      <c r="I17" s="1179">
        <v>0</v>
      </c>
      <c r="J17" s="351">
        <v>1</v>
      </c>
      <c r="K17" s="1179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9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9"/>
      <c r="E19" s="1179"/>
      <c r="F19" s="1179">
        <v>6873.648162545971</v>
      </c>
      <c r="G19" s="182"/>
      <c r="H19" s="1179"/>
      <c r="I19" s="1179">
        <v>0</v>
      </c>
      <c r="J19" s="183"/>
      <c r="K19" s="1179"/>
      <c r="L19" s="180">
        <v>7028</v>
      </c>
      <c r="M19" s="182"/>
      <c r="N19" s="180">
        <f>L19-F19</f>
        <v>154.35183745402901</v>
      </c>
      <c r="O19" s="183"/>
      <c r="P19" s="1179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9">
        <v>0</v>
      </c>
      <c r="E21" s="1179">
        <f>IF(D21=0,0,F21/D21)</f>
        <v>0</v>
      </c>
      <c r="F21" s="1179">
        <v>1600</v>
      </c>
      <c r="G21" s="223">
        <v>0</v>
      </c>
      <c r="H21" s="1179">
        <f>IF(G21=0,0,I21/G21)</f>
        <v>0</v>
      </c>
      <c r="I21" s="1179">
        <v>0</v>
      </c>
      <c r="J21" s="182"/>
      <c r="K21" s="1179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9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9">
        <v>0</v>
      </c>
      <c r="E22" s="1179">
        <f>IF(D22=0,0,F22/D22)</f>
        <v>0</v>
      </c>
      <c r="F22" s="1179">
        <v>73600</v>
      </c>
      <c r="G22" s="223">
        <v>0</v>
      </c>
      <c r="H22" s="1179">
        <f>IF(G22=0,0,I22/G22)</f>
        <v>0</v>
      </c>
      <c r="I22" s="1179">
        <v>0</v>
      </c>
      <c r="J22" s="182"/>
      <c r="K22" s="1179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9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9">
        <v>0</v>
      </c>
      <c r="E23" s="1179">
        <f>IF(D23=0,0,F23/D23)</f>
        <v>0</v>
      </c>
      <c r="F23" s="1179">
        <v>30720</v>
      </c>
      <c r="G23" s="223">
        <v>0</v>
      </c>
      <c r="H23" s="1179">
        <f>IF(G23=0,0,I23/G23)</f>
        <v>0</v>
      </c>
      <c r="I23" s="1179">
        <v>0</v>
      </c>
      <c r="J23" s="182"/>
      <c r="K23" s="1179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9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9">
        <v>69300.495354054481</v>
      </c>
      <c r="G31" s="293"/>
      <c r="H31" s="37" t="e">
        <f t="shared" ref="H31:H40" si="11">I31/G$24</f>
        <v>#DIV/0!</v>
      </c>
      <c r="I31" s="1179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9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9">
        <v>8320</v>
      </c>
      <c r="G33" s="269"/>
      <c r="H33" s="37" t="e">
        <f t="shared" si="11"/>
        <v>#DIV/0!</v>
      </c>
      <c r="I33" s="1179">
        <v>0</v>
      </c>
      <c r="J33" s="223"/>
      <c r="K33" s="37">
        <f t="shared" si="12"/>
        <v>208.6721818181818</v>
      </c>
      <c r="L33" s="1179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9">
        <v>2368</v>
      </c>
      <c r="G34" s="269"/>
      <c r="H34" s="37" t="e">
        <f t="shared" si="11"/>
        <v>#DIV/0!</v>
      </c>
      <c r="I34" s="1179">
        <v>0</v>
      </c>
      <c r="J34" s="223"/>
      <c r="K34" s="37">
        <f t="shared" si="12"/>
        <v>23.322181818181818</v>
      </c>
      <c r="L34" s="1179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9">
        <v>32894.117647058825</v>
      </c>
      <c r="G36" s="269"/>
      <c r="H36" s="37" t="e">
        <f t="shared" si="11"/>
        <v>#DIV/0!</v>
      </c>
      <c r="I36" s="1179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9">
        <v>79997.607493590462</v>
      </c>
      <c r="G37" s="269"/>
      <c r="H37" s="37" t="e">
        <f t="shared" si="11"/>
        <v>#DIV/0!</v>
      </c>
      <c r="I37" s="1179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9">
        <v>0</v>
      </c>
      <c r="G38" s="269"/>
      <c r="H38" s="37" t="e">
        <f t="shared" si="11"/>
        <v>#DIV/0!</v>
      </c>
      <c r="I38" s="1179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9">
        <v>0</v>
      </c>
      <c r="G39" s="269"/>
      <c r="H39" s="37" t="e">
        <f t="shared" si="11"/>
        <v>#DIV/0!</v>
      </c>
      <c r="I39" s="1179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9">
        <v>0</v>
      </c>
      <c r="G40" s="269"/>
      <c r="H40" s="37" t="e">
        <f t="shared" si="11"/>
        <v>#DIV/0!</v>
      </c>
      <c r="I40" s="1179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9">
        <v>37718.770689655175</v>
      </c>
      <c r="G42" s="223"/>
      <c r="H42" s="25"/>
      <c r="I42" s="1179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9">
        <v>1026</v>
      </c>
      <c r="G44" s="272"/>
      <c r="H44" s="271"/>
      <c r="I44" s="1179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9">
        <v>0</v>
      </c>
      <c r="G45" s="269"/>
      <c r="H45" s="25"/>
      <c r="I45" s="1179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9">
        <v>0</v>
      </c>
      <c r="G46" s="269"/>
      <c r="H46" s="25"/>
      <c r="I46" s="1179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9">
        <v>0</v>
      </c>
      <c r="G47" s="269"/>
      <c r="H47" s="25"/>
      <c r="I47" s="1179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9">
        <v>0</v>
      </c>
      <c r="G48" s="269"/>
      <c r="H48" s="25"/>
      <c r="I48" s="1179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9">
        <v>24091.067029958063</v>
      </c>
      <c r="G50" s="272"/>
      <c r="H50" s="271"/>
      <c r="I50" s="1179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9">
        <v>13014.418769744027</v>
      </c>
      <c r="G51" s="269"/>
      <c r="H51" s="25"/>
      <c r="I51" s="1179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9">
        <v>2788.8040220880057</v>
      </c>
      <c r="G52" s="269"/>
      <c r="H52" s="25"/>
      <c r="I52" s="1179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9">
        <v>0</v>
      </c>
      <c r="G53" s="277"/>
      <c r="H53" s="276"/>
      <c r="I53" s="1179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9">
        <v>0</v>
      </c>
      <c r="G55" s="269"/>
      <c r="H55" s="25"/>
      <c r="I55" s="1179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9">
        <v>0</v>
      </c>
      <c r="G56" s="269"/>
      <c r="H56" s="25"/>
      <c r="I56" s="1179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9">
        <v>14634.900000000001</v>
      </c>
      <c r="G58" s="269"/>
      <c r="H58" s="25"/>
      <c r="I58" s="1179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9">
        <v>2475</v>
      </c>
      <c r="G59" s="269"/>
      <c r="H59" s="25"/>
      <c r="I59" s="1179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9">
        <v>120</v>
      </c>
      <c r="G61" s="269"/>
      <c r="H61" s="25"/>
      <c r="I61" s="1179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9">
        <v>90</v>
      </c>
      <c r="G62" s="269"/>
      <c r="H62" s="25"/>
      <c r="I62" s="1179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9">
        <v>2126.25</v>
      </c>
      <c r="G63" s="269"/>
      <c r="H63" s="25"/>
      <c r="I63" s="1179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9">
        <v>631.20000000000005</v>
      </c>
      <c r="G64" s="269"/>
      <c r="H64" s="25"/>
      <c r="I64" s="1179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9">
        <v>607.5</v>
      </c>
      <c r="G65" s="269"/>
      <c r="H65" s="25"/>
      <c r="I65" s="1179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9">
        <v>2350.3500000000004</v>
      </c>
      <c r="G66" s="269"/>
      <c r="H66" s="25"/>
      <c r="I66" s="1179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9">
        <v>1674.5505299999995</v>
      </c>
      <c r="G67" s="269"/>
      <c r="H67" s="25"/>
      <c r="I67" s="1179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9">
        <v>8952.2997121422923</v>
      </c>
      <c r="G68" s="269"/>
      <c r="H68" s="25"/>
      <c r="I68" s="1179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9">
        <v>0</v>
      </c>
      <c r="G69" s="269"/>
      <c r="H69" s="25"/>
      <c r="I69" s="1179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9">
        <v>0</v>
      </c>
      <c r="G70" s="269"/>
      <c r="H70" s="25"/>
      <c r="I70" s="1179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9">
        <v>0</v>
      </c>
      <c r="G71" s="269"/>
      <c r="H71" s="25"/>
      <c r="I71" s="1179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9">
        <v>102892.11801818182</v>
      </c>
      <c r="G75" s="269"/>
      <c r="H75" s="25"/>
      <c r="I75" s="1179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9">
        <v>0</v>
      </c>
      <c r="G76" s="269"/>
      <c r="H76" s="25"/>
      <c r="I76" s="1179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9">
        <v>0</v>
      </c>
      <c r="G77" s="269"/>
      <c r="H77" s="25"/>
      <c r="I77" s="1179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9">
        <v>111234.72218181819</v>
      </c>
      <c r="G78" s="269"/>
      <c r="H78" s="25"/>
      <c r="I78" s="1179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9">
        <v>0</v>
      </c>
      <c r="G79" s="269"/>
      <c r="H79" s="25"/>
      <c r="I79" s="1179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9">
        <v>0</v>
      </c>
      <c r="G80" s="269"/>
      <c r="H80" s="25"/>
      <c r="I80" s="1179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9">
        <v>0</v>
      </c>
      <c r="G81" s="269"/>
      <c r="H81" s="25"/>
      <c r="I81" s="1179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9">
        <v>37508.800000000003</v>
      </c>
      <c r="G82" s="269"/>
      <c r="H82" s="25"/>
      <c r="I82" s="1179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5"/>
      <c r="E84" s="1226"/>
      <c r="F84" s="48"/>
      <c r="G84" s="49"/>
      <c r="H84" s="1226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300" t="s">
        <v>77</v>
      </c>
      <c r="E91" s="1301"/>
      <c r="F91" s="1302"/>
      <c r="G91" s="1303" t="s">
        <v>2983</v>
      </c>
      <c r="H91" s="1301"/>
      <c r="I91" s="1302"/>
      <c r="J91" s="1303" t="s">
        <v>78</v>
      </c>
      <c r="K91" s="1301"/>
      <c r="L91" s="1302"/>
      <c r="M91" s="1303" t="s">
        <v>2442</v>
      </c>
      <c r="N91" s="1302"/>
      <c r="O91" s="1300" t="s">
        <v>79</v>
      </c>
      <c r="P91" s="1301"/>
      <c r="Q91" s="1302"/>
      <c r="R91" s="1304" t="s">
        <v>2446</v>
      </c>
      <c r="S91" s="1305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9">
        <v>21</v>
      </c>
      <c r="E94" s="1179">
        <f>IF(D94=0,0,F94/D94)</f>
        <v>2300</v>
      </c>
      <c r="F94" s="1179">
        <v>48300</v>
      </c>
      <c r="G94" s="182">
        <v>0</v>
      </c>
      <c r="H94" s="1179">
        <f t="shared" ref="H94:H100" si="21">IF(G94=0,0,I94/G94)</f>
        <v>0</v>
      </c>
      <c r="I94" s="1179">
        <v>0</v>
      </c>
      <c r="J94" s="182">
        <v>16</v>
      </c>
      <c r="K94" s="1179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9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9">
        <v>21</v>
      </c>
      <c r="E95" s="1179">
        <f>IF(D95=0,0,F95/D95)</f>
        <v>1600</v>
      </c>
      <c r="F95" s="1179">
        <v>33600</v>
      </c>
      <c r="G95" s="182">
        <v>0</v>
      </c>
      <c r="H95" s="1179">
        <f t="shared" si="21"/>
        <v>0</v>
      </c>
      <c r="I95" s="1179">
        <v>0</v>
      </c>
      <c r="J95" s="182">
        <v>13</v>
      </c>
      <c r="K95" s="1179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9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2811</v>
      </c>
      <c r="D96" s="1179">
        <v>21</v>
      </c>
      <c r="E96" s="184">
        <f>IF(D96=0,0,F96/D96)</f>
        <v>1500</v>
      </c>
      <c r="F96" s="1179">
        <v>31500</v>
      </c>
      <c r="G96" s="182">
        <v>0</v>
      </c>
      <c r="H96" s="1179">
        <f t="shared" si="21"/>
        <v>0</v>
      </c>
      <c r="I96" s="1179">
        <v>0</v>
      </c>
      <c r="J96" s="182">
        <v>15</v>
      </c>
      <c r="K96" s="1179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9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9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9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2984</v>
      </c>
      <c r="D99" s="1179">
        <v>0</v>
      </c>
      <c r="E99" s="1179">
        <f>IF(D99=0,0,F99/D99)</f>
        <v>0</v>
      </c>
      <c r="F99" s="1179">
        <v>0</v>
      </c>
      <c r="G99" s="223">
        <v>0</v>
      </c>
      <c r="H99" s="1179">
        <f t="shared" si="21"/>
        <v>0</v>
      </c>
      <c r="I99" s="1179">
        <v>0</v>
      </c>
      <c r="J99" s="182">
        <v>0</v>
      </c>
      <c r="K99" s="1179">
        <f>IF(J99=0,0,L99/J99)</f>
        <v>0</v>
      </c>
      <c r="L99" s="180">
        <v>0</v>
      </c>
      <c r="M99" s="182"/>
      <c r="N99" s="180"/>
      <c r="O99" s="182">
        <v>0</v>
      </c>
      <c r="P99" s="1179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9">
        <v>63</v>
      </c>
      <c r="E100" s="1179">
        <f>IF(D100=0,0,F100/D100)</f>
        <v>350</v>
      </c>
      <c r="F100" s="1179">
        <v>22050</v>
      </c>
      <c r="G100" s="182">
        <v>0</v>
      </c>
      <c r="H100" s="1179">
        <f t="shared" si="21"/>
        <v>0</v>
      </c>
      <c r="I100" s="1179">
        <v>0</v>
      </c>
      <c r="J100" s="182">
        <v>48</v>
      </c>
      <c r="K100" s="1179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9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9">
        <v>0</v>
      </c>
      <c r="E102" s="1179">
        <f>IF(D102=0,0,F102/D102)</f>
        <v>0</v>
      </c>
      <c r="F102" s="180">
        <v>23940</v>
      </c>
      <c r="G102" s="182">
        <v>0</v>
      </c>
      <c r="H102" s="1179">
        <f>IF(G102=0,0,I102/G102)</f>
        <v>0</v>
      </c>
      <c r="I102" s="1179">
        <v>0</v>
      </c>
      <c r="J102" s="182">
        <v>0</v>
      </c>
      <c r="K102" s="1179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9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9">
        <v>0</v>
      </c>
      <c r="E103" s="1179">
        <f>IF(D103=0,0,F103/D103)</f>
        <v>0</v>
      </c>
      <c r="F103" s="180">
        <v>53550</v>
      </c>
      <c r="G103" s="182">
        <v>0</v>
      </c>
      <c r="H103" s="1179">
        <f>IF(G103=0,0,I103/G103)</f>
        <v>0</v>
      </c>
      <c r="I103" s="1179">
        <v>0</v>
      </c>
      <c r="J103" s="182">
        <v>0</v>
      </c>
      <c r="K103" s="1179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9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9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9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9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7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7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9">
        <v>38622.298850574713</v>
      </c>
      <c r="G112" s="293" t="e">
        <f>I112/I97</f>
        <v>#DIV/0!</v>
      </c>
      <c r="H112" s="37" t="e">
        <f>I112/G$97</f>
        <v>#DIV/0!</v>
      </c>
      <c r="I112" s="1179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9">
        <v>5670</v>
      </c>
      <c r="G114" s="269"/>
      <c r="H114" s="37" t="e">
        <f>I114/G$97</f>
        <v>#DIV/0!</v>
      </c>
      <c r="I114" s="1179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9">
        <v>5922</v>
      </c>
      <c r="G115" s="269"/>
      <c r="H115" s="37" t="e">
        <f t="shared" ref="H115:H121" si="25">I115/G$97</f>
        <v>#DIV/0!</v>
      </c>
      <c r="I115" s="1179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9">
        <v>19575</v>
      </c>
      <c r="G117" s="269"/>
      <c r="H117" s="37" t="e">
        <f t="shared" si="25"/>
        <v>#DIV/0!</v>
      </c>
      <c r="I117" s="1179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9">
        <v>15066.138270491803</v>
      </c>
      <c r="G118" s="269"/>
      <c r="H118" s="37" t="e">
        <f t="shared" si="25"/>
        <v>#DIV/0!</v>
      </c>
      <c r="I118" s="1179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9">
        <v>0</v>
      </c>
      <c r="G119" s="269"/>
      <c r="H119" s="37" t="e">
        <f t="shared" si="25"/>
        <v>#DIV/0!</v>
      </c>
      <c r="I119" s="1179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9">
        <v>0</v>
      </c>
      <c r="G120" s="269"/>
      <c r="H120" s="37" t="e">
        <f t="shared" si="25"/>
        <v>#DIV/0!</v>
      </c>
      <c r="I120" s="1179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9">
        <v>0</v>
      </c>
      <c r="G121" s="269"/>
      <c r="H121" s="37" t="e">
        <f t="shared" si="25"/>
        <v>#DIV/0!</v>
      </c>
      <c r="I121" s="1179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9">
        <v>15114.02652519894</v>
      </c>
      <c r="G123" s="223"/>
      <c r="H123" s="25"/>
      <c r="I123" s="1179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9">
        <v>8427</v>
      </c>
      <c r="G125" s="272"/>
      <c r="H125" s="271"/>
      <c r="I125" s="1179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9">
        <v>0</v>
      </c>
      <c r="G126" s="269"/>
      <c r="H126" s="25"/>
      <c r="I126" s="1179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9">
        <v>0</v>
      </c>
      <c r="G127" s="269"/>
      <c r="H127" s="25"/>
      <c r="I127" s="1179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9">
        <v>0</v>
      </c>
      <c r="G128" s="269"/>
      <c r="H128" s="25"/>
      <c r="I128" s="1179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9">
        <v>0</v>
      </c>
      <c r="G129" s="269"/>
      <c r="H129" s="25"/>
      <c r="I129" s="1179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9">
        <v>10760.50709453514</v>
      </c>
      <c r="G130" s="269"/>
      <c r="H130" s="25"/>
      <c r="I130" s="1179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9">
        <v>6988.9710023872685</v>
      </c>
      <c r="G132" s="269"/>
      <c r="H132" s="25"/>
      <c r="I132" s="1179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9">
        <v>1497.6366433687001</v>
      </c>
      <c r="G133" s="269"/>
      <c r="H133" s="25"/>
      <c r="I133" s="1179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9">
        <v>0</v>
      </c>
      <c r="G134" s="277"/>
      <c r="H134" s="276"/>
      <c r="I134" s="1179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9">
        <v>0</v>
      </c>
      <c r="G136" s="269"/>
      <c r="H136" s="25"/>
      <c r="I136" s="1179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9">
        <v>0</v>
      </c>
      <c r="G137" s="269"/>
      <c r="H137" s="25"/>
      <c r="I137" s="1179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9">
        <v>4276.2000000000007</v>
      </c>
      <c r="G139" s="269"/>
      <c r="H139" s="25"/>
      <c r="I139" s="1179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9">
        <v>550</v>
      </c>
      <c r="G140" s="269"/>
      <c r="H140" s="25"/>
      <c r="I140" s="1179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9">
        <v>52.5</v>
      </c>
      <c r="G142" s="269"/>
      <c r="H142" s="25"/>
      <c r="I142" s="1179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9">
        <v>30</v>
      </c>
      <c r="G143" s="269"/>
      <c r="H143" s="25"/>
      <c r="I143" s="1179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9">
        <v>472.5</v>
      </c>
      <c r="G144" s="269"/>
      <c r="H144" s="25"/>
      <c r="I144" s="1179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9">
        <v>189.60000000000002</v>
      </c>
      <c r="G145" s="269"/>
      <c r="H145" s="25"/>
      <c r="I145" s="1179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9">
        <v>135</v>
      </c>
      <c r="G146" s="269"/>
      <c r="H146" s="25"/>
      <c r="I146" s="1179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9">
        <v>522.30000000000007</v>
      </c>
      <c r="G147" s="269"/>
      <c r="H147" s="25"/>
      <c r="I147" s="1179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9">
        <v>372.12233999999995</v>
      </c>
      <c r="G148" s="269"/>
      <c r="H148" s="25"/>
      <c r="I148" s="1179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9">
        <v>1989.3999360316207</v>
      </c>
      <c r="G149" s="269"/>
      <c r="H149" s="25"/>
      <c r="I149" s="1179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9">
        <v>0</v>
      </c>
      <c r="G150" s="269"/>
      <c r="H150" s="25"/>
      <c r="I150" s="1179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9">
        <v>0</v>
      </c>
      <c r="G151" s="269"/>
      <c r="H151" s="25"/>
      <c r="I151" s="1179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9">
        <v>0</v>
      </c>
      <c r="G152" s="269"/>
      <c r="H152" s="25"/>
      <c r="I152" s="1179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9">
        <v>7875</v>
      </c>
      <c r="G156" s="361"/>
      <c r="H156" s="454"/>
      <c r="I156" s="1179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9">
        <v>2814</v>
      </c>
      <c r="G157" s="361"/>
      <c r="H157" s="454"/>
      <c r="I157" s="1179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9">
        <v>0</v>
      </c>
      <c r="G158" s="269"/>
      <c r="H158" s="25"/>
      <c r="I158" s="1179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9">
        <v>31112.55</v>
      </c>
      <c r="G159" s="269"/>
      <c r="H159" s="25"/>
      <c r="I159" s="1179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9">
        <v>0</v>
      </c>
      <c r="G160" s="269"/>
      <c r="H160" s="25"/>
      <c r="I160" s="1179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9">
        <v>0</v>
      </c>
      <c r="G161" s="269"/>
      <c r="H161" s="25"/>
      <c r="I161" s="1179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9">
        <v>0</v>
      </c>
      <c r="G162" s="269"/>
      <c r="H162" s="25"/>
      <c r="I162" s="1179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300" t="s">
        <v>77</v>
      </c>
      <c r="E170" s="1301"/>
      <c r="F170" s="1302"/>
      <c r="G170" s="1303" t="s">
        <v>2983</v>
      </c>
      <c r="H170" s="1301"/>
      <c r="I170" s="1302"/>
      <c r="J170" s="1303" t="s">
        <v>78</v>
      </c>
      <c r="K170" s="1301"/>
      <c r="L170" s="1302"/>
      <c r="M170" s="1303" t="s">
        <v>2442</v>
      </c>
      <c r="N170" s="1302"/>
      <c r="O170" s="1300" t="s">
        <v>79</v>
      </c>
      <c r="P170" s="1301"/>
      <c r="Q170" s="1302"/>
      <c r="R170" s="1304" t="s">
        <v>2446</v>
      </c>
      <c r="S170" s="1305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9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9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7"/>
      <c r="F173" s="227">
        <f>F172/E172</f>
        <v>0.78400000000000003</v>
      </c>
      <c r="G173" s="223"/>
      <c r="H173" s="1227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8"/>
      <c r="L177" s="318"/>
      <c r="M177" s="324"/>
      <c r="N177" s="299"/>
      <c r="O177" s="278"/>
      <c r="P177" s="1228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7"/>
      <c r="F179" s="227">
        <f>F178/E178</f>
        <v>0.67499999999999993</v>
      </c>
      <c r="G179" s="223"/>
      <c r="H179" s="1227"/>
      <c r="I179" s="227" t="e">
        <f>I178/H178</f>
        <v>#DIV/0!</v>
      </c>
      <c r="J179" s="224"/>
      <c r="K179" s="1227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7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9"/>
      <c r="L180" s="227"/>
      <c r="M180" s="293"/>
      <c r="N180" s="225"/>
      <c r="O180" s="224"/>
      <c r="P180" s="1229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0"/>
      <c r="F182" s="227">
        <f>IFERROR(F181/E181,0)</f>
        <v>0.4</v>
      </c>
      <c r="G182" s="232"/>
      <c r="H182" s="1230"/>
      <c r="I182" s="227">
        <f>IFERROR(I181/H181,0)</f>
        <v>0</v>
      </c>
      <c r="J182" s="228"/>
      <c r="K182" s="1230"/>
      <c r="L182" s="227">
        <f>IFERROR(L181/K181,0)</f>
        <v>0.77343598284825676</v>
      </c>
      <c r="M182" s="224">
        <f>J182-D182</f>
        <v>0</v>
      </c>
      <c r="N182" s="230"/>
      <c r="O182" s="228"/>
      <c r="P182" s="1230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9">
        <v>29096.89</v>
      </c>
      <c r="L188" s="180">
        <v>3896.2500000000014</v>
      </c>
      <c r="M188" s="1189">
        <f>IF(E188=0,0,(K188-E188)/E188)</f>
        <v>0.98358580265632711</v>
      </c>
      <c r="N188" s="225">
        <f>L188-F188</f>
        <v>2209.3341400866061</v>
      </c>
      <c r="O188" s="224"/>
      <c r="P188" s="1179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7"/>
      <c r="F189" s="227">
        <f>IFERROR(F188/E188,0)</f>
        <v>0.11500000000000002</v>
      </c>
      <c r="G189" s="223"/>
      <c r="H189" s="1227"/>
      <c r="I189" s="227">
        <f>IFERROR(I188/H188,0)</f>
        <v>0</v>
      </c>
      <c r="J189" s="228"/>
      <c r="K189" s="1230"/>
      <c r="L189" s="227">
        <f>IFERROR(L188/K188,0)</f>
        <v>0.1339060635002573</v>
      </c>
      <c r="M189" s="228"/>
      <c r="N189" s="230"/>
      <c r="O189" s="228"/>
      <c r="P189" s="1230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7"/>
      <c r="F190" s="227"/>
      <c r="G190" s="223"/>
      <c r="H190" s="1227"/>
      <c r="I190" s="227"/>
      <c r="J190" s="228"/>
      <c r="K190" s="1230"/>
      <c r="L190" s="227"/>
      <c r="M190" s="228"/>
      <c r="N190" s="230"/>
      <c r="O190" s="228"/>
      <c r="P190" s="1230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9">
        <v>0</v>
      </c>
      <c r="L191" s="227">
        <v>0</v>
      </c>
      <c r="M191" s="228"/>
      <c r="N191" s="230"/>
      <c r="O191" s="228"/>
      <c r="P191" s="1179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7"/>
      <c r="F192" s="227">
        <f>IF(F191=0,0,F191/E191)</f>
        <v>0</v>
      </c>
      <c r="G192" s="223"/>
      <c r="H192" s="1227"/>
      <c r="I192" s="227">
        <f>IF(I191=0,0,I191/H191)</f>
        <v>0</v>
      </c>
      <c r="J192" s="228"/>
      <c r="K192" s="1230"/>
      <c r="L192" s="227">
        <f>IF(L191=0,0,L191/K191)</f>
        <v>0</v>
      </c>
      <c r="M192" s="228"/>
      <c r="N192" s="230"/>
      <c r="O192" s="228"/>
      <c r="P192" s="1230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9">
        <v>31216.820468611852</v>
      </c>
      <c r="G198" s="223"/>
      <c r="H198" s="25"/>
      <c r="I198" s="1179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9">
        <v>13937.057471264368</v>
      </c>
      <c r="G200" s="272"/>
      <c r="H200" s="271"/>
      <c r="I200" s="1179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9">
        <v>43254.929666666663</v>
      </c>
      <c r="G201" s="269"/>
      <c r="H201" s="25"/>
      <c r="I201" s="1179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9">
        <v>0</v>
      </c>
      <c r="G202" s="269"/>
      <c r="H202" s="25"/>
      <c r="I202" s="1179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9">
        <v>0</v>
      </c>
      <c r="G203" s="269"/>
      <c r="H203" s="25"/>
      <c r="I203" s="1179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9">
        <v>0</v>
      </c>
      <c r="G204" s="269"/>
      <c r="H204" s="25"/>
      <c r="I204" s="1179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9">
        <v>28847.103401729903</v>
      </c>
      <c r="G205" s="269"/>
      <c r="H205" s="25"/>
      <c r="I205" s="1179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9">
        <v>18646.87909294854</v>
      </c>
      <c r="G207" s="269"/>
      <c r="H207" s="25"/>
      <c r="I207" s="1179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9">
        <v>3995.7598056318302</v>
      </c>
      <c r="G208" s="269"/>
      <c r="H208" s="25"/>
      <c r="I208" s="1179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9">
        <v>0</v>
      </c>
      <c r="G209" s="277"/>
      <c r="H209" s="276"/>
      <c r="I209" s="1179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9">
        <v>14066.09416522</v>
      </c>
      <c r="G211" s="269"/>
      <c r="H211" s="25"/>
      <c r="I211" s="1179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9">
        <v>8275</v>
      </c>
      <c r="G212" s="269"/>
      <c r="H212" s="25"/>
      <c r="I212" s="1179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9">
        <v>18100.5</v>
      </c>
      <c r="G214" s="269"/>
      <c r="H214" s="25"/>
      <c r="I214" s="1179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9">
        <v>1375</v>
      </c>
      <c r="G215" s="269"/>
      <c r="H215" s="25"/>
      <c r="I215" s="1179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9">
        <v>0</v>
      </c>
      <c r="G217" s="269"/>
      <c r="H217" s="25"/>
      <c r="I217" s="1179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9">
        <v>3300</v>
      </c>
      <c r="G218" s="269"/>
      <c r="H218" s="25"/>
      <c r="I218" s="1179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9">
        <v>3000</v>
      </c>
      <c r="G219" s="269"/>
      <c r="H219" s="25"/>
      <c r="I219" s="1179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9">
        <v>1181.25</v>
      </c>
      <c r="G220" s="269"/>
      <c r="H220" s="25"/>
      <c r="I220" s="1179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9">
        <v>360</v>
      </c>
      <c r="G221" s="269"/>
      <c r="H221" s="25"/>
      <c r="I221" s="1179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9">
        <v>337.5</v>
      </c>
      <c r="G222" s="269"/>
      <c r="H222" s="25"/>
      <c r="I222" s="1179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9">
        <v>1305.75</v>
      </c>
      <c r="G223" s="269"/>
      <c r="H223" s="25"/>
      <c r="I223" s="1179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9">
        <v>4931.1458500000008</v>
      </c>
      <c r="G224" s="269"/>
      <c r="H224" s="25"/>
      <c r="I224" s="1179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9">
        <v>4973.4998400790519</v>
      </c>
      <c r="G225" s="269"/>
      <c r="H225" s="25"/>
      <c r="I225" s="1179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9">
        <v>0</v>
      </c>
      <c r="G226" s="269"/>
      <c r="H226" s="25"/>
      <c r="I226" s="1179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9">
        <v>0</v>
      </c>
      <c r="G227" s="269"/>
      <c r="H227" s="25"/>
      <c r="I227" s="1179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9">
        <v>0</v>
      </c>
      <c r="G228" s="269"/>
      <c r="H228" s="25"/>
      <c r="I228" s="1179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300" t="s">
        <v>77</v>
      </c>
      <c r="E238" s="1301"/>
      <c r="F238" s="1302"/>
      <c r="G238" s="1303" t="s">
        <v>2983</v>
      </c>
      <c r="H238" s="1301"/>
      <c r="I238" s="1302"/>
      <c r="J238" s="1303" t="s">
        <v>78</v>
      </c>
      <c r="K238" s="1301"/>
      <c r="L238" s="1302"/>
      <c r="M238" s="1303" t="s">
        <v>2442</v>
      </c>
      <c r="N238" s="1302"/>
      <c r="O238" s="1300" t="s">
        <v>79</v>
      </c>
      <c r="P238" s="1301"/>
      <c r="Q238" s="1302"/>
      <c r="R238" s="1304" t="s">
        <v>2446</v>
      </c>
      <c r="S238" s="1305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9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9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9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7"/>
      <c r="F242" s="227">
        <f>IFERROR(F241/E241,0)</f>
        <v>0</v>
      </c>
      <c r="G242" s="223"/>
      <c r="H242" s="1227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7"/>
      <c r="F245" s="227" t="e">
        <f>F244/E244</f>
        <v>#DIV/0!</v>
      </c>
      <c r="G245" s="223"/>
      <c r="H245" s="1227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9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9">
        <v>0</v>
      </c>
      <c r="G254" s="223"/>
      <c r="H254" s="25"/>
      <c r="I254" s="1179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9">
        <v>0</v>
      </c>
      <c r="G256" s="272"/>
      <c r="H256" s="271"/>
      <c r="I256" s="1179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9">
        <v>0</v>
      </c>
      <c r="G257" s="269"/>
      <c r="H257" s="25"/>
      <c r="I257" s="1179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9">
        <v>0</v>
      </c>
      <c r="G258" s="269"/>
      <c r="H258" s="25"/>
      <c r="I258" s="1179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9">
        <v>0</v>
      </c>
      <c r="G259" s="269"/>
      <c r="H259" s="25"/>
      <c r="I259" s="1179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9">
        <v>0</v>
      </c>
      <c r="G260" s="269"/>
      <c r="H260" s="25"/>
      <c r="I260" s="1179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9">
        <v>0</v>
      </c>
      <c r="G262" s="272"/>
      <c r="H262" s="271"/>
      <c r="I262" s="1179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9">
        <v>0</v>
      </c>
      <c r="G263" s="269"/>
      <c r="H263" s="25"/>
      <c r="I263" s="1179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9">
        <v>0</v>
      </c>
      <c r="G264" s="269"/>
      <c r="H264" s="25"/>
      <c r="I264" s="1179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9">
        <v>0</v>
      </c>
      <c r="G265" s="269"/>
      <c r="H265" s="25"/>
      <c r="I265" s="1179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9">
        <v>0</v>
      </c>
      <c r="G267" s="269"/>
      <c r="H267" s="25"/>
      <c r="I267" s="1179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9">
        <v>0</v>
      </c>
      <c r="G268" s="269"/>
      <c r="H268" s="25"/>
      <c r="I268" s="1179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9">
        <v>0</v>
      </c>
      <c r="G270" s="269"/>
      <c r="H270" s="25"/>
      <c r="I270" s="1179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9">
        <v>0</v>
      </c>
      <c r="G271" s="269"/>
      <c r="H271" s="25"/>
      <c r="I271" s="1179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9">
        <v>0</v>
      </c>
      <c r="G273" s="269"/>
      <c r="H273" s="25"/>
      <c r="I273" s="1179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9">
        <v>0</v>
      </c>
      <c r="G274" s="269"/>
      <c r="H274" s="25"/>
      <c r="I274" s="1179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9">
        <v>0</v>
      </c>
      <c r="G275" s="269"/>
      <c r="H275" s="25"/>
      <c r="I275" s="1179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9">
        <v>0</v>
      </c>
      <c r="G276" s="269"/>
      <c r="H276" s="25"/>
      <c r="I276" s="1179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9">
        <v>0</v>
      </c>
      <c r="G277" s="269"/>
      <c r="H277" s="25"/>
      <c r="I277" s="1179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9">
        <v>0</v>
      </c>
      <c r="G278" s="269"/>
      <c r="H278" s="25"/>
      <c r="I278" s="1179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9">
        <v>0</v>
      </c>
      <c r="G279" s="269"/>
      <c r="H279" s="25"/>
      <c r="I279" s="1179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9">
        <v>0</v>
      </c>
      <c r="G280" s="269"/>
      <c r="H280" s="25"/>
      <c r="I280" s="1179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9">
        <v>0</v>
      </c>
      <c r="G281" s="269"/>
      <c r="H281" s="25"/>
      <c r="I281" s="1179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9">
        <v>0</v>
      </c>
      <c r="G282" s="269"/>
      <c r="H282" s="25"/>
      <c r="I282" s="1179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9">
        <v>0</v>
      </c>
      <c r="G283" s="269"/>
      <c r="H283" s="25"/>
      <c r="I283" s="1179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9">
        <v>0</v>
      </c>
      <c r="G284" s="269"/>
      <c r="H284" s="25"/>
      <c r="I284" s="1179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300" t="s">
        <v>77</v>
      </c>
      <c r="E293" s="1301"/>
      <c r="F293" s="1302"/>
      <c r="G293" s="1303" t="s">
        <v>2983</v>
      </c>
      <c r="H293" s="1301"/>
      <c r="I293" s="1302"/>
      <c r="J293" s="1303" t="s">
        <v>78</v>
      </c>
      <c r="K293" s="1301"/>
      <c r="L293" s="1302"/>
      <c r="M293" s="1303" t="s">
        <v>2442</v>
      </c>
      <c r="N293" s="1302"/>
      <c r="O293" s="1300" t="s">
        <v>79</v>
      </c>
      <c r="P293" s="1301"/>
      <c r="Q293" s="1302"/>
      <c r="R293" s="1304" t="s">
        <v>2446</v>
      </c>
      <c r="S293" s="130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9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9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9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9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9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9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9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9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9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9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9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9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9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9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9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9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9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9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9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9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9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9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2985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30"/>
      <c r="F316" s="230"/>
      <c r="G316" s="228"/>
      <c r="H316" s="1230"/>
      <c r="I316" s="230"/>
      <c r="J316" s="228"/>
      <c r="K316" s="1230"/>
      <c r="L316" s="230"/>
      <c r="M316" s="223"/>
      <c r="N316" s="234"/>
      <c r="O316" s="228"/>
      <c r="P316" s="1230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9">
        <v>12824.742617152962</v>
      </c>
      <c r="G318" s="223"/>
      <c r="H318" s="25"/>
      <c r="I318" s="1179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9">
        <v>42396.423218390803</v>
      </c>
      <c r="G320" s="272"/>
      <c r="H320" s="271"/>
      <c r="I320" s="1179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9">
        <v>0</v>
      </c>
      <c r="G321" s="269"/>
      <c r="H321" s="25"/>
      <c r="I321" s="1179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9">
        <v>0</v>
      </c>
      <c r="G322" s="269"/>
      <c r="H322" s="25"/>
      <c r="I322" s="1179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9">
        <v>0</v>
      </c>
      <c r="G323" s="269"/>
      <c r="H323" s="25"/>
      <c r="I323" s="1179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9">
        <v>0</v>
      </c>
      <c r="G324" s="269"/>
      <c r="H324" s="25"/>
      <c r="I324" s="1179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9">
        <v>9381.0579108340717</v>
      </c>
      <c r="G326" s="272"/>
      <c r="H326" s="271"/>
      <c r="I326" s="1179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9">
        <v>5060.8298882404961</v>
      </c>
      <c r="G327" s="269"/>
      <c r="H327" s="25"/>
      <c r="I327" s="1179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9">
        <v>1084.4635474801062</v>
      </c>
      <c r="G328" s="269"/>
      <c r="H328" s="25"/>
      <c r="I328" s="1179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9">
        <v>0</v>
      </c>
      <c r="G329" s="269"/>
      <c r="H329" s="25"/>
      <c r="I329" s="1179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9">
        <v>7574.0507043492289</v>
      </c>
      <c r="G331" s="269"/>
      <c r="H331" s="25"/>
      <c r="I331" s="1179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9">
        <v>1725</v>
      </c>
      <c r="G332" s="269"/>
      <c r="H332" s="25"/>
      <c r="I332" s="1179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9">
        <v>5480.4000000000005</v>
      </c>
      <c r="G334" s="269"/>
      <c r="H334" s="25"/>
      <c r="I334" s="1179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9">
        <v>1100</v>
      </c>
      <c r="G335" s="269"/>
      <c r="H335" s="25"/>
      <c r="I335" s="1179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9">
        <v>0</v>
      </c>
      <c r="G337" s="269"/>
      <c r="H337" s="25"/>
      <c r="I337" s="1179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9">
        <v>30</v>
      </c>
      <c r="G338" s="269"/>
      <c r="H338" s="25"/>
      <c r="I338" s="1179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9">
        <v>60</v>
      </c>
      <c r="G339" s="269"/>
      <c r="H339" s="25"/>
      <c r="I339" s="1179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9">
        <v>945</v>
      </c>
      <c r="G340" s="269"/>
      <c r="H340" s="25"/>
      <c r="I340" s="1179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9">
        <v>355.20000000000005</v>
      </c>
      <c r="G341" s="269"/>
      <c r="H341" s="25"/>
      <c r="I341" s="1179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9">
        <v>1770</v>
      </c>
      <c r="G342" s="269"/>
      <c r="H342" s="25"/>
      <c r="I342" s="1179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9">
        <v>1044.6000000000001</v>
      </c>
      <c r="G343" s="269"/>
      <c r="H343" s="25"/>
      <c r="I343" s="1179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9">
        <v>769.24467999999979</v>
      </c>
      <c r="G344" s="269"/>
      <c r="H344" s="25"/>
      <c r="I344" s="1179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9">
        <v>3978.7998720632413</v>
      </c>
      <c r="G345" s="269"/>
      <c r="H345" s="25"/>
      <c r="I345" s="1179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9">
        <v>0</v>
      </c>
      <c r="G346" s="269"/>
      <c r="H346" s="25"/>
      <c r="I346" s="1179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9">
        <v>0</v>
      </c>
      <c r="G347" s="269"/>
      <c r="H347" s="25"/>
      <c r="I347" s="1179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9">
        <v>0</v>
      </c>
      <c r="G348" s="269"/>
      <c r="H348" s="25"/>
      <c r="I348" s="1179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300" t="s">
        <v>77</v>
      </c>
      <c r="E358" s="1301"/>
      <c r="F358" s="1302"/>
      <c r="G358" s="1303" t="s">
        <v>2983</v>
      </c>
      <c r="H358" s="1301"/>
      <c r="I358" s="1302"/>
      <c r="J358" s="1303" t="s">
        <v>78</v>
      </c>
      <c r="K358" s="1301"/>
      <c r="L358" s="1302"/>
      <c r="M358" s="1303"/>
      <c r="N358" s="1302"/>
      <c r="O358" s="1300" t="s">
        <v>79</v>
      </c>
      <c r="P358" s="1301"/>
      <c r="Q358" s="1302"/>
      <c r="R358" s="1303" t="s">
        <v>80</v>
      </c>
      <c r="S358" s="130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31">
        <v>0</v>
      </c>
      <c r="E360" s="1232">
        <f>IFERROR(F360/D360,0)</f>
        <v>0</v>
      </c>
      <c r="F360" s="206">
        <v>0</v>
      </c>
      <c r="G360" s="1231">
        <v>0</v>
      </c>
      <c r="H360" s="1232">
        <f>IFERROR(I360/G360,0)</f>
        <v>0</v>
      </c>
      <c r="I360" s="1231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3">
        <f>+D360</f>
        <v>0</v>
      </c>
      <c r="E362" s="1230">
        <f>IF(D362&lt;=0,0,F362/D362)</f>
        <v>0</v>
      </c>
      <c r="F362" s="230">
        <f>+F360</f>
        <v>0</v>
      </c>
      <c r="G362" s="228">
        <f>+G360</f>
        <v>0</v>
      </c>
      <c r="H362" s="1230">
        <f>IF(G362&lt;=0,0,I362/G362)</f>
        <v>0</v>
      </c>
      <c r="I362" s="230">
        <f>+I360</f>
        <v>0</v>
      </c>
      <c r="J362" s="228">
        <f>+J360</f>
        <v>0</v>
      </c>
      <c r="K362" s="1230">
        <f>IF(J362&lt;=0,0,L362/J362)</f>
        <v>0</v>
      </c>
      <c r="L362" s="230">
        <f>+L360</f>
        <v>0</v>
      </c>
      <c r="M362" s="1190"/>
      <c r="N362" s="542"/>
      <c r="O362" s="228">
        <f>+O360</f>
        <v>0</v>
      </c>
      <c r="P362" s="1230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91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9">
        <v>0</v>
      </c>
      <c r="G365" s="223"/>
      <c r="H365" s="25"/>
      <c r="I365" s="1179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9">
        <v>0</v>
      </c>
      <c r="G367" s="272"/>
      <c r="H367" s="271"/>
      <c r="I367" s="1179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9">
        <v>0</v>
      </c>
      <c r="G368" s="269"/>
      <c r="H368" s="25"/>
      <c r="I368" s="1179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9">
        <v>0</v>
      </c>
      <c r="G369" s="269"/>
      <c r="H369" s="25"/>
      <c r="I369" s="1179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9">
        <v>0</v>
      </c>
      <c r="G370" s="269"/>
      <c r="H370" s="25"/>
      <c r="I370" s="1179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9">
        <v>0</v>
      </c>
      <c r="G371" s="269"/>
      <c r="H371" s="25"/>
      <c r="I371" s="1179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9">
        <v>0</v>
      </c>
      <c r="G373" s="272"/>
      <c r="H373" s="271"/>
      <c r="I373" s="1179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9">
        <v>0</v>
      </c>
      <c r="G374" s="269"/>
      <c r="H374" s="25"/>
      <c r="I374" s="1179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9">
        <v>0</v>
      </c>
      <c r="G375" s="269"/>
      <c r="H375" s="25"/>
      <c r="I375" s="1179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9">
        <v>0</v>
      </c>
      <c r="G376" s="277"/>
      <c r="H376" s="276"/>
      <c r="I376" s="1179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9">
        <v>0</v>
      </c>
      <c r="G378" s="269"/>
      <c r="H378" s="25"/>
      <c r="I378" s="1179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9">
        <v>0</v>
      </c>
      <c r="G379" s="269"/>
      <c r="H379" s="25"/>
      <c r="I379" s="1179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9">
        <v>0</v>
      </c>
      <c r="G381" s="269"/>
      <c r="H381" s="25"/>
      <c r="I381" s="1179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9">
        <v>0</v>
      </c>
      <c r="G382" s="269"/>
      <c r="H382" s="25"/>
      <c r="I382" s="1179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9">
        <v>0</v>
      </c>
      <c r="G384" s="269"/>
      <c r="H384" s="25"/>
      <c r="I384" s="1179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9">
        <v>0</v>
      </c>
      <c r="G385" s="269"/>
      <c r="H385" s="25"/>
      <c r="I385" s="1179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9">
        <v>0</v>
      </c>
      <c r="G386" s="269"/>
      <c r="H386" s="25"/>
      <c r="I386" s="1179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9">
        <v>0</v>
      </c>
      <c r="G387" s="269"/>
      <c r="H387" s="25"/>
      <c r="I387" s="1179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9">
        <v>0</v>
      </c>
      <c r="G388" s="269"/>
      <c r="H388" s="25"/>
      <c r="I388" s="1179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9">
        <v>0</v>
      </c>
      <c r="G389" s="269"/>
      <c r="H389" s="25"/>
      <c r="I389" s="1179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9">
        <v>0</v>
      </c>
      <c r="G390" s="269"/>
      <c r="H390" s="25"/>
      <c r="I390" s="1179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9">
        <v>0</v>
      </c>
      <c r="G391" s="269"/>
      <c r="H391" s="25"/>
      <c r="I391" s="1179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9">
        <v>0</v>
      </c>
      <c r="G392" s="269"/>
      <c r="H392" s="25"/>
      <c r="I392" s="1179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9">
        <v>0</v>
      </c>
      <c r="G393" s="269"/>
      <c r="H393" s="25"/>
      <c r="I393" s="1179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9">
        <v>0</v>
      </c>
      <c r="G394" s="277"/>
      <c r="H394" s="276"/>
      <c r="I394" s="1179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4"/>
      <c r="W403" s="1235"/>
      <c r="X403" s="1235"/>
      <c r="Y403" s="1235"/>
      <c r="Z403" s="1235"/>
      <c r="AA403" s="1235"/>
      <c r="AB403" s="1235"/>
      <c r="AC403" s="1235"/>
      <c r="AD403" s="1235"/>
      <c r="AE403" s="1235"/>
      <c r="AF403" s="1235"/>
      <c r="AG403" s="1235"/>
      <c r="AH403" s="1235"/>
      <c r="AI403" s="1235"/>
      <c r="AJ403" s="1235"/>
      <c r="AK403" s="1235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7" t="s">
        <v>186</v>
      </c>
      <c r="Y404" s="1298"/>
      <c r="Z404" s="1308"/>
      <c r="AA404" s="1297" t="s">
        <v>2983</v>
      </c>
      <c r="AB404" s="1298"/>
      <c r="AC404" s="1308"/>
      <c r="AD404" s="1297" t="s">
        <v>78</v>
      </c>
      <c r="AE404" s="1298"/>
      <c r="AF404" s="1308"/>
      <c r="AG404" s="1297" t="s">
        <v>2442</v>
      </c>
      <c r="AH404" s="1298"/>
      <c r="AI404" s="1308"/>
      <c r="AJ404" s="1297" t="s">
        <v>2335</v>
      </c>
      <c r="AK404" s="1298"/>
      <c r="AL404" s="1298"/>
      <c r="AM404" s="1297" t="s">
        <v>187</v>
      </c>
      <c r="AN404" s="1298"/>
      <c r="AO404" s="1299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6"/>
      <c r="X408" s="1236"/>
      <c r="Y408" s="1236"/>
      <c r="Z408" s="87"/>
      <c r="AA408" s="1236"/>
      <c r="AB408" s="1236"/>
      <c r="AC408" s="87"/>
      <c r="AD408" s="399"/>
      <c r="AE408" s="1236"/>
      <c r="AF408" s="1237"/>
      <c r="AG408" s="399"/>
      <c r="AH408" s="1237"/>
      <c r="AI408" s="1238"/>
      <c r="AJ408" s="399"/>
      <c r="AK408" s="1236"/>
      <c r="AL408" s="1237"/>
      <c r="AM408" s="402"/>
      <c r="AN408" s="1237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9" t="s">
        <v>197</v>
      </c>
      <c r="X409" s="1236"/>
      <c r="Y409" s="1240">
        <f>Z409/(D$13+D$97)</f>
        <v>906.91423701369081</v>
      </c>
      <c r="Z409" s="87">
        <v>107922.7942046292</v>
      </c>
      <c r="AA409" s="1236"/>
      <c r="AB409" s="1240">
        <f>IF(AC409=0,0,AC409/(G$13+G$97))</f>
        <v>0</v>
      </c>
      <c r="AC409" s="87">
        <v>0</v>
      </c>
      <c r="AD409" s="405"/>
      <c r="AE409" s="1240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7">
        <f t="shared" si="50"/>
        <v>-30264.774204629197</v>
      </c>
      <c r="AI409" s="1238">
        <f t="shared" ref="AI409:AI418" si="51">IF(Z409=0,0,AH409/Z409)</f>
        <v>-0.28042986125104452</v>
      </c>
      <c r="AJ409" s="405"/>
      <c r="AK409" s="1237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7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9" t="s">
        <v>199</v>
      </c>
      <c r="X411" s="1236"/>
      <c r="Y411" s="1240">
        <f t="shared" si="55"/>
        <v>117.56302521008404</v>
      </c>
      <c r="Z411" s="87">
        <v>13990</v>
      </c>
      <c r="AA411" s="1236"/>
      <c r="AB411" s="1240">
        <f t="shared" si="56"/>
        <v>0</v>
      </c>
      <c r="AC411" s="87">
        <v>0</v>
      </c>
      <c r="AD411" s="405"/>
      <c r="AE411" s="1240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7">
        <f t="shared" si="50"/>
        <v>1433.8499999999985</v>
      </c>
      <c r="AI411" s="1238">
        <f t="shared" si="51"/>
        <v>0.10249106504646166</v>
      </c>
      <c r="AJ411" s="405"/>
      <c r="AK411" s="1237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7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9" t="s">
        <v>200</v>
      </c>
      <c r="X412" s="1236"/>
      <c r="Y412" s="1240">
        <f t="shared" si="55"/>
        <v>69.663865546218489</v>
      </c>
      <c r="Z412" s="87">
        <v>8290</v>
      </c>
      <c r="AA412" s="1236"/>
      <c r="AB412" s="1240">
        <f t="shared" si="56"/>
        <v>0</v>
      </c>
      <c r="AC412" s="87">
        <v>0</v>
      </c>
      <c r="AD412" s="405"/>
      <c r="AE412" s="1240">
        <f t="shared" si="57"/>
        <v>41.089999999999996</v>
      </c>
      <c r="AF412" s="87">
        <v>3698.1</v>
      </c>
      <c r="AG412" s="399">
        <f t="shared" si="50"/>
        <v>-28.573865546218492</v>
      </c>
      <c r="AH412" s="1237">
        <f t="shared" si="50"/>
        <v>-4591.8999999999996</v>
      </c>
      <c r="AI412" s="1238">
        <f t="shared" si="51"/>
        <v>-0.55390832328106143</v>
      </c>
      <c r="AJ412" s="405"/>
      <c r="AK412" s="1237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7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9" t="s">
        <v>201</v>
      </c>
      <c r="X414" s="1238"/>
      <c r="Y414" s="1240">
        <f t="shared" si="55"/>
        <v>440.91695501730106</v>
      </c>
      <c r="Z414" s="87">
        <v>52469.117647058825</v>
      </c>
      <c r="AA414" s="1238"/>
      <c r="AB414" s="1240">
        <f t="shared" si="56"/>
        <v>0</v>
      </c>
      <c r="AC414" s="87">
        <v>0</v>
      </c>
      <c r="AD414" s="405"/>
      <c r="AE414" s="1240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7">
        <f t="shared" si="50"/>
        <v>-4420.9576470588217</v>
      </c>
      <c r="AI414" s="1238">
        <f t="shared" si="51"/>
        <v>-8.4258280781411996E-2</v>
      </c>
      <c r="AJ414" s="405"/>
      <c r="AK414" s="1237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7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9" t="s">
        <v>202</v>
      </c>
      <c r="X415" s="1236"/>
      <c r="Y415" s="1240">
        <f t="shared" si="55"/>
        <v>798.85500642085935</v>
      </c>
      <c r="Z415" s="87">
        <v>95063.745764082269</v>
      </c>
      <c r="AA415" s="1236"/>
      <c r="AB415" s="1240">
        <f t="shared" si="56"/>
        <v>0</v>
      </c>
      <c r="AC415" s="87">
        <v>0</v>
      </c>
      <c r="AD415" s="405"/>
      <c r="AE415" s="1240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7">
        <f t="shared" si="50"/>
        <v>-18070.485764082259</v>
      </c>
      <c r="AI415" s="1238">
        <f t="shared" si="51"/>
        <v>-0.19008808898533633</v>
      </c>
      <c r="AJ415" s="405"/>
      <c r="AK415" s="1237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7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9"/>
      <c r="X416" s="1238"/>
      <c r="Y416" s="1240">
        <f>Z416/(D$13+D$97)</f>
        <v>0</v>
      </c>
      <c r="Z416" s="87">
        <v>0</v>
      </c>
      <c r="AA416" s="1236"/>
      <c r="AB416" s="1240">
        <f>IF(AC416=0,0,AC416/(G$13+G$97))</f>
        <v>0</v>
      </c>
      <c r="AC416" s="87">
        <v>0</v>
      </c>
      <c r="AD416" s="405"/>
      <c r="AE416" s="1240">
        <f>IF(AF416=0,0,AF416/(J$13+J$97))</f>
        <v>0</v>
      </c>
      <c r="AF416" s="87">
        <v>0</v>
      </c>
      <c r="AG416" s="399">
        <f t="shared" si="50"/>
        <v>0</v>
      </c>
      <c r="AH416" s="1237">
        <f t="shared" si="50"/>
        <v>0</v>
      </c>
      <c r="AI416" s="1238">
        <f t="shared" si="51"/>
        <v>0</v>
      </c>
      <c r="AJ416" s="405"/>
      <c r="AK416" s="1237">
        <f>AL416/(O$13+O$97)</f>
        <v>0</v>
      </c>
      <c r="AL416" s="87"/>
      <c r="AM416" s="402">
        <f>AE416-Y416</f>
        <v>0</v>
      </c>
      <c r="AN416" s="1237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9"/>
      <c r="X417" s="1238"/>
      <c r="Y417" s="1240">
        <f>Z417/(D$13+D$97)</f>
        <v>0</v>
      </c>
      <c r="Z417" s="87">
        <v>0</v>
      </c>
      <c r="AA417" s="1236"/>
      <c r="AB417" s="1240">
        <f>IF(AC417=0,0,AC417/(G$13+G$97))</f>
        <v>0</v>
      </c>
      <c r="AC417" s="87">
        <v>0</v>
      </c>
      <c r="AD417" s="405"/>
      <c r="AE417" s="1240">
        <f>IF(AF417=0,0,AF417/(J$13+J$97))</f>
        <v>0</v>
      </c>
      <c r="AF417" s="87">
        <v>0</v>
      </c>
      <c r="AG417" s="399">
        <f t="shared" si="50"/>
        <v>0</v>
      </c>
      <c r="AH417" s="1237">
        <f t="shared" si="50"/>
        <v>0</v>
      </c>
      <c r="AI417" s="1238">
        <f t="shared" si="51"/>
        <v>0</v>
      </c>
      <c r="AJ417" s="405"/>
      <c r="AK417" s="1237">
        <f>AL417/(O$13+O$97)</f>
        <v>0</v>
      </c>
      <c r="AL417" s="87"/>
      <c r="AM417" s="402">
        <f>AE417-Y417</f>
        <v>0</v>
      </c>
      <c r="AN417" s="1237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9"/>
      <c r="X418" s="1236"/>
      <c r="Y418" s="1240">
        <f>Z418/(D$13+D$97)</f>
        <v>0</v>
      </c>
      <c r="Z418" s="87">
        <v>0</v>
      </c>
      <c r="AA418" s="1236"/>
      <c r="AB418" s="1240">
        <f>IF(AC418=0,0,AC418/(G$13+G$97))</f>
        <v>0</v>
      </c>
      <c r="AC418" s="87">
        <v>0</v>
      </c>
      <c r="AD418" s="405"/>
      <c r="AE418" s="1240">
        <f>IF(AF418=0,0,AF418/(J$13+J$97))</f>
        <v>0</v>
      </c>
      <c r="AF418" s="87">
        <v>0</v>
      </c>
      <c r="AG418" s="399">
        <f t="shared" si="50"/>
        <v>0</v>
      </c>
      <c r="AH418" s="1237">
        <f t="shared" si="50"/>
        <v>0</v>
      </c>
      <c r="AI418" s="1238">
        <f t="shared" si="51"/>
        <v>0</v>
      </c>
      <c r="AJ418" s="405"/>
      <c r="AK418" s="1237">
        <f>AL418/(O$13+O$97)</f>
        <v>0</v>
      </c>
      <c r="AL418" s="87"/>
      <c r="AM418" s="402">
        <f>AE418-Y418</f>
        <v>0</v>
      </c>
      <c r="AN418" s="1237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9" t="s">
        <v>204</v>
      </c>
      <c r="X420" s="1236"/>
      <c r="Y420" s="1236"/>
      <c r="Z420" s="87">
        <v>42833.376304155616</v>
      </c>
      <c r="AA420" s="1236"/>
      <c r="AB420" s="1236">
        <f t="shared" ref="AB420:AB430" si="61">IF(AC420=0,0,AC420/(G$13+G$97))</f>
        <v>0</v>
      </c>
      <c r="AC420" s="87">
        <v>0</v>
      </c>
      <c r="AD420" s="405"/>
      <c r="AE420" s="1240"/>
      <c r="AF420" s="87">
        <v>40989.910000000003</v>
      </c>
      <c r="AG420" s="399"/>
      <c r="AH420" s="1237">
        <f t="shared" si="50"/>
        <v>-1843.4663041556123</v>
      </c>
      <c r="AI420" s="1238">
        <f t="shared" ref="AI420:AI432" si="62">IF(Z420=0,0,AH420/Z420)</f>
        <v>-4.3038080656199934E-2</v>
      </c>
      <c r="AJ420" s="405"/>
      <c r="AK420" s="1236"/>
      <c r="AL420" s="87">
        <v>39782.699999999997</v>
      </c>
      <c r="AM420" s="402"/>
      <c r="AN420" s="1237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9" t="s">
        <v>205</v>
      </c>
      <c r="X421" s="1236"/>
      <c r="Y421" s="1236"/>
      <c r="Z421" s="87">
        <v>96874.360300618922</v>
      </c>
      <c r="AA421" s="1236"/>
      <c r="AB421" s="1236">
        <f t="shared" si="61"/>
        <v>0</v>
      </c>
      <c r="AC421" s="87">
        <v>0</v>
      </c>
      <c r="AD421" s="405"/>
      <c r="AE421" s="1240"/>
      <c r="AF421" s="87">
        <v>92498.12</v>
      </c>
      <c r="AG421" s="399"/>
      <c r="AH421" s="1237">
        <f t="shared" si="50"/>
        <v>-4376.240300618927</v>
      </c>
      <c r="AI421" s="1238">
        <f t="shared" si="62"/>
        <v>-4.5174391727993354E-2</v>
      </c>
      <c r="AJ421" s="405"/>
      <c r="AK421" s="1236"/>
      <c r="AL421" s="87">
        <f t="shared" ref="AL421:AL430" si="63">+SUMIF($C:$C,$V421,Q:Q)</f>
        <v>81236.010000000009</v>
      </c>
      <c r="AM421" s="402"/>
      <c r="AN421" s="1237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9" t="s">
        <v>207</v>
      </c>
      <c r="X423" s="1236"/>
      <c r="Y423" s="1236"/>
      <c r="Z423" s="87">
        <v>65786.480689655175</v>
      </c>
      <c r="AA423" s="1236"/>
      <c r="AB423" s="1236">
        <f t="shared" si="61"/>
        <v>0</v>
      </c>
      <c r="AC423" s="87">
        <v>0</v>
      </c>
      <c r="AD423" s="405"/>
      <c r="AE423" s="1240"/>
      <c r="AF423" s="87">
        <v>64775.619999999995</v>
      </c>
      <c r="AG423" s="399"/>
      <c r="AH423" s="1237">
        <f t="shared" si="50"/>
        <v>-1010.8606896551792</v>
      </c>
      <c r="AI423" s="1238">
        <f t="shared" si="62"/>
        <v>-1.5365781526205512E-2</v>
      </c>
      <c r="AJ423" s="405"/>
      <c r="AK423" s="1236"/>
      <c r="AL423" s="87">
        <f t="shared" si="63"/>
        <v>55922.76</v>
      </c>
      <c r="AM423" s="402"/>
      <c r="AN423" s="1237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9" t="s">
        <v>208</v>
      </c>
      <c r="X424" s="1236"/>
      <c r="Y424" s="1236"/>
      <c r="Z424" s="87">
        <v>43254.929666666663</v>
      </c>
      <c r="AA424" s="1236"/>
      <c r="AB424" s="1236">
        <f t="shared" si="61"/>
        <v>0</v>
      </c>
      <c r="AC424" s="87">
        <v>0</v>
      </c>
      <c r="AD424" s="405"/>
      <c r="AE424" s="1240"/>
      <c r="AF424" s="87">
        <v>42786.59</v>
      </c>
      <c r="AG424" s="399"/>
      <c r="AH424" s="1237">
        <f t="shared" si="50"/>
        <v>-468.33966666666674</v>
      </c>
      <c r="AI424" s="1238">
        <f t="shared" si="62"/>
        <v>-1.0827428694851886E-2</v>
      </c>
      <c r="AJ424" s="405"/>
      <c r="AK424" s="1236"/>
      <c r="AL424" s="87">
        <f t="shared" si="63"/>
        <v>33095.020000000004</v>
      </c>
      <c r="AM424" s="402"/>
      <c r="AN424" s="1237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9"/>
      <c r="X425" s="1236"/>
      <c r="Y425" s="1236"/>
      <c r="Z425" s="1237">
        <v>0</v>
      </c>
      <c r="AA425" s="1236"/>
      <c r="AB425" s="1236">
        <f t="shared" si="61"/>
        <v>0</v>
      </c>
      <c r="AC425" s="1237">
        <v>0</v>
      </c>
      <c r="AD425" s="405"/>
      <c r="AE425" s="1240"/>
      <c r="AF425" s="87">
        <v>0</v>
      </c>
      <c r="AG425" s="399"/>
      <c r="AH425" s="1237">
        <f t="shared" ref="AH425:AH451" si="64">AF425-Z425</f>
        <v>0</v>
      </c>
      <c r="AI425" s="1238">
        <f t="shared" si="62"/>
        <v>0</v>
      </c>
      <c r="AJ425" s="405"/>
      <c r="AK425" s="1236"/>
      <c r="AL425" s="87"/>
      <c r="AM425" s="402"/>
      <c r="AN425" s="1237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9"/>
      <c r="X426" s="1236"/>
      <c r="Y426" s="1236"/>
      <c r="Z426" s="1237">
        <v>0</v>
      </c>
      <c r="AA426" s="1236"/>
      <c r="AB426" s="1236">
        <f t="shared" si="61"/>
        <v>0</v>
      </c>
      <c r="AC426" s="1237">
        <v>0</v>
      </c>
      <c r="AD426" s="405"/>
      <c r="AE426" s="1240"/>
      <c r="AF426" s="87">
        <v>0</v>
      </c>
      <c r="AG426" s="399"/>
      <c r="AH426" s="1237">
        <f t="shared" si="64"/>
        <v>0</v>
      </c>
      <c r="AI426" s="1238">
        <f t="shared" si="62"/>
        <v>0</v>
      </c>
      <c r="AJ426" s="405"/>
      <c r="AK426" s="1236"/>
      <c r="AL426" s="87"/>
      <c r="AM426" s="402"/>
      <c r="AN426" s="1237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9"/>
      <c r="X427" s="1236"/>
      <c r="Y427" s="1236"/>
      <c r="Z427" s="1237">
        <v>0</v>
      </c>
      <c r="AA427" s="1236"/>
      <c r="AB427" s="1236">
        <f t="shared" si="61"/>
        <v>0</v>
      </c>
      <c r="AC427" s="1237">
        <v>0</v>
      </c>
      <c r="AD427" s="405"/>
      <c r="AE427" s="1240"/>
      <c r="AF427" s="87">
        <v>0</v>
      </c>
      <c r="AG427" s="399"/>
      <c r="AH427" s="1237">
        <f t="shared" si="64"/>
        <v>0</v>
      </c>
      <c r="AI427" s="1238">
        <f t="shared" si="62"/>
        <v>0</v>
      </c>
      <c r="AJ427" s="405"/>
      <c r="AK427" s="1236"/>
      <c r="AL427" s="87"/>
      <c r="AM427" s="402"/>
      <c r="AN427" s="1237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9" t="s">
        <v>210</v>
      </c>
      <c r="X429" s="1236"/>
      <c r="Y429" s="1236"/>
      <c r="Z429" s="87">
        <v>81091.220627378047</v>
      </c>
      <c r="AA429" s="1236"/>
      <c r="AB429" s="1236">
        <f t="shared" si="61"/>
        <v>0</v>
      </c>
      <c r="AC429" s="87">
        <v>0</v>
      </c>
      <c r="AD429" s="405"/>
      <c r="AE429" s="1240"/>
      <c r="AF429" s="87">
        <v>83524.349999999991</v>
      </c>
      <c r="AG429" s="399"/>
      <c r="AH429" s="1237">
        <f t="shared" si="64"/>
        <v>2433.1293726219446</v>
      </c>
      <c r="AI429" s="1238">
        <f t="shared" si="62"/>
        <v>3.0004843357857542E-2</v>
      </c>
      <c r="AJ429" s="405"/>
      <c r="AK429" s="1236"/>
      <c r="AL429" s="87">
        <f t="shared" si="63"/>
        <v>66453.83</v>
      </c>
      <c r="AM429" s="402"/>
      <c r="AN429" s="1237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9" t="s">
        <v>211</v>
      </c>
      <c r="X430" s="1236"/>
      <c r="Y430" s="1236"/>
      <c r="Z430" s="87">
        <v>43711.09875332033</v>
      </c>
      <c r="AA430" s="1236"/>
      <c r="AB430" s="1236">
        <f t="shared" si="61"/>
        <v>0</v>
      </c>
      <c r="AC430" s="87">
        <v>0</v>
      </c>
      <c r="AD430" s="405"/>
      <c r="AE430" s="1240"/>
      <c r="AF430" s="87">
        <v>48151.679999999993</v>
      </c>
      <c r="AG430" s="399"/>
      <c r="AH430" s="1237">
        <f t="shared" si="64"/>
        <v>4440.5812466796633</v>
      </c>
      <c r="AI430" s="1238">
        <f t="shared" si="62"/>
        <v>0.10158933024629936</v>
      </c>
      <c r="AJ430" s="405"/>
      <c r="AK430" s="1236"/>
      <c r="AL430" s="87">
        <f t="shared" si="63"/>
        <v>38198.979999999996</v>
      </c>
      <c r="AM430" s="402"/>
      <c r="AN430" s="1237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9"/>
      <c r="X431" s="1236"/>
      <c r="Y431" s="1236"/>
      <c r="Z431" s="87">
        <v>9366.6640185686429</v>
      </c>
      <c r="AA431" s="1236"/>
      <c r="AB431" s="1236">
        <f>IF(AC431=0,0,AC431/(G$13+G$97))</f>
        <v>0</v>
      </c>
      <c r="AC431" s="87">
        <v>0</v>
      </c>
      <c r="AD431" s="405"/>
      <c r="AE431" s="1240"/>
      <c r="AF431" s="87">
        <v>13161.42</v>
      </c>
      <c r="AG431" s="399"/>
      <c r="AH431" s="1237">
        <f t="shared" si="64"/>
        <v>3794.7559814313572</v>
      </c>
      <c r="AI431" s="97">
        <f t="shared" si="62"/>
        <v>0.40513420508182685</v>
      </c>
      <c r="AJ431" s="405"/>
      <c r="AK431" s="1236"/>
      <c r="AL431" s="87">
        <f>+SUMIF($C:$C,$V431,Q:Q)</f>
        <v>4034.48</v>
      </c>
      <c r="AM431" s="402"/>
      <c r="AN431" s="1237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9"/>
      <c r="X432" s="1236"/>
      <c r="Y432" s="1240"/>
      <c r="Z432" s="1237">
        <v>0</v>
      </c>
      <c r="AA432" s="1236"/>
      <c r="AB432" s="1236">
        <f>IF(AC432=0,0,AC432/(G$13+G$97))</f>
        <v>0</v>
      </c>
      <c r="AC432" s="1237">
        <v>0</v>
      </c>
      <c r="AD432" s="405"/>
      <c r="AE432" s="1240"/>
      <c r="AF432" s="87">
        <v>0</v>
      </c>
      <c r="AG432" s="399"/>
      <c r="AH432" s="1237">
        <f t="shared" si="64"/>
        <v>0</v>
      </c>
      <c r="AI432" s="1238">
        <f t="shared" si="62"/>
        <v>0</v>
      </c>
      <c r="AJ432" s="405"/>
      <c r="AK432" s="1236">
        <f>AL432/(O$13+O$97)</f>
        <v>0</v>
      </c>
      <c r="AL432" s="87"/>
      <c r="AM432" s="402"/>
      <c r="AN432" s="1237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9" t="s">
        <v>212</v>
      </c>
      <c r="X435" s="1236"/>
      <c r="Y435" s="1236"/>
      <c r="Z435" s="87">
        <v>10000</v>
      </c>
      <c r="AA435" s="1236"/>
      <c r="AB435" s="1236">
        <f t="shared" si="66"/>
        <v>0</v>
      </c>
      <c r="AC435" s="87">
        <v>0</v>
      </c>
      <c r="AD435" s="405"/>
      <c r="AE435" s="1240"/>
      <c r="AF435" s="87">
        <v>11038.95</v>
      </c>
      <c r="AG435" s="399"/>
      <c r="AH435" s="1237">
        <f t="shared" si="64"/>
        <v>1038.9500000000007</v>
      </c>
      <c r="AI435" s="1238">
        <f t="shared" si="67"/>
        <v>0.10389500000000007</v>
      </c>
      <c r="AJ435" s="405"/>
      <c r="AK435" s="1236"/>
      <c r="AL435" s="87">
        <f t="shared" si="68"/>
        <v>10289.84</v>
      </c>
      <c r="AM435" s="402"/>
      <c r="AN435" s="1237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9" t="s">
        <v>214</v>
      </c>
      <c r="X437" s="1236"/>
      <c r="Y437" s="1236"/>
      <c r="Z437" s="87">
        <v>42492</v>
      </c>
      <c r="AA437" s="1236"/>
      <c r="AB437" s="1236">
        <f t="shared" si="66"/>
        <v>0</v>
      </c>
      <c r="AC437" s="87">
        <v>0</v>
      </c>
      <c r="AD437" s="405"/>
      <c r="AE437" s="1240"/>
      <c r="AF437" s="87">
        <v>42562.31</v>
      </c>
      <c r="AG437" s="399"/>
      <c r="AH437" s="1237">
        <f>AF437-Z437</f>
        <v>70.309999999997672</v>
      </c>
      <c r="AI437" s="1238">
        <f t="shared" si="67"/>
        <v>1.6546644074178121E-3</v>
      </c>
      <c r="AJ437" s="405"/>
      <c r="AK437" s="1236"/>
      <c r="AL437" s="87">
        <f t="shared" si="68"/>
        <v>41224.18</v>
      </c>
      <c r="AM437" s="402"/>
      <c r="AN437" s="1237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9" t="s">
        <v>215</v>
      </c>
      <c r="X438" s="1236"/>
      <c r="Y438" s="1236"/>
      <c r="Z438" s="87">
        <v>5500</v>
      </c>
      <c r="AA438" s="1236"/>
      <c r="AB438" s="1236">
        <f t="shared" si="66"/>
        <v>0</v>
      </c>
      <c r="AC438" s="87">
        <v>0</v>
      </c>
      <c r="AD438" s="405"/>
      <c r="AE438" s="1240"/>
      <c r="AF438" s="87">
        <v>3122.8700000000003</v>
      </c>
      <c r="AG438" s="399"/>
      <c r="AH438" s="1237">
        <f t="shared" si="64"/>
        <v>-2377.1299999999997</v>
      </c>
      <c r="AI438" s="1238">
        <f t="shared" si="67"/>
        <v>-0.4322054545454545</v>
      </c>
      <c r="AJ438" s="405"/>
      <c r="AK438" s="1236"/>
      <c r="AL438" s="87">
        <f t="shared" si="68"/>
        <v>5946.31</v>
      </c>
      <c r="AM438" s="402"/>
      <c r="AN438" s="1237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9" t="s">
        <v>216</v>
      </c>
      <c r="X439" s="1236"/>
      <c r="Y439" s="1236"/>
      <c r="Z439" s="87">
        <v>35148</v>
      </c>
      <c r="AA439" s="1236"/>
      <c r="AB439" s="1236">
        <f t="shared" si="66"/>
        <v>0</v>
      </c>
      <c r="AC439" s="87">
        <v>0</v>
      </c>
      <c r="AD439" s="405"/>
      <c r="AE439" s="1240"/>
      <c r="AF439" s="87">
        <v>24830.739999999998</v>
      </c>
      <c r="AG439" s="399"/>
      <c r="AH439" s="1237">
        <f t="shared" si="64"/>
        <v>-10317.260000000002</v>
      </c>
      <c r="AI439" s="1238">
        <f t="shared" si="67"/>
        <v>-0.29353761238192788</v>
      </c>
      <c r="AJ439" s="405"/>
      <c r="AK439" s="1236"/>
      <c r="AL439" s="87">
        <f t="shared" si="68"/>
        <v>33830.35</v>
      </c>
      <c r="AM439" s="402"/>
      <c r="AN439" s="1237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9" t="s">
        <v>217</v>
      </c>
      <c r="X441" s="1236"/>
      <c r="Y441" s="1240"/>
      <c r="Z441" s="87">
        <v>3502.5</v>
      </c>
      <c r="AA441" s="1236"/>
      <c r="AB441" s="1240">
        <f t="shared" si="66"/>
        <v>0</v>
      </c>
      <c r="AC441" s="87">
        <v>0</v>
      </c>
      <c r="AD441" s="405"/>
      <c r="AE441" s="1240"/>
      <c r="AF441" s="87">
        <v>8325.0999999999985</v>
      </c>
      <c r="AG441" s="399"/>
      <c r="AH441" s="1237">
        <f t="shared" si="64"/>
        <v>4822.5999999999985</v>
      </c>
      <c r="AI441" s="1238">
        <f t="shared" si="67"/>
        <v>1.3769022127052102</v>
      </c>
      <c r="AJ441" s="405"/>
      <c r="AK441" s="1236"/>
      <c r="AL441" s="87">
        <f t="shared" si="68"/>
        <v>3132.19</v>
      </c>
      <c r="AM441" s="402"/>
      <c r="AN441" s="1237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9" t="s">
        <v>2986</v>
      </c>
      <c r="X442" s="1236"/>
      <c r="Y442" s="1236"/>
      <c r="Z442" s="87">
        <v>3180</v>
      </c>
      <c r="AA442" s="1236"/>
      <c r="AB442" s="1236">
        <f t="shared" si="66"/>
        <v>0</v>
      </c>
      <c r="AC442" s="87">
        <v>0</v>
      </c>
      <c r="AD442" s="405"/>
      <c r="AE442" s="1240"/>
      <c r="AF442" s="87">
        <v>3043.52</v>
      </c>
      <c r="AG442" s="399"/>
      <c r="AH442" s="1237">
        <f t="shared" si="64"/>
        <v>-136.48000000000002</v>
      </c>
      <c r="AI442" s="97">
        <f t="shared" si="67"/>
        <v>-4.2918238993710695E-2</v>
      </c>
      <c r="AJ442" s="405"/>
      <c r="AK442" s="1236"/>
      <c r="AL442" s="87">
        <f t="shared" si="68"/>
        <v>4766.09</v>
      </c>
      <c r="AM442" s="402"/>
      <c r="AN442" s="1237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9" t="s">
        <v>218</v>
      </c>
      <c r="X443" s="1236"/>
      <c r="Y443" s="1236"/>
      <c r="Z443" s="87">
        <v>4725</v>
      </c>
      <c r="AA443" s="1236"/>
      <c r="AB443" s="1236">
        <f t="shared" si="66"/>
        <v>0</v>
      </c>
      <c r="AC443" s="87">
        <v>0</v>
      </c>
      <c r="AD443" s="405"/>
      <c r="AE443" s="1240"/>
      <c r="AF443" s="87">
        <v>4939.67</v>
      </c>
      <c r="AG443" s="399"/>
      <c r="AH443" s="1237">
        <f t="shared" si="64"/>
        <v>214.67000000000007</v>
      </c>
      <c r="AI443" s="1238">
        <f t="shared" si="67"/>
        <v>4.5432804232804248E-2</v>
      </c>
      <c r="AJ443" s="405"/>
      <c r="AK443" s="1236"/>
      <c r="AL443" s="87">
        <f t="shared" si="68"/>
        <v>4387.26</v>
      </c>
      <c r="AM443" s="402"/>
      <c r="AN443" s="1237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9" t="s">
        <v>219</v>
      </c>
      <c r="X444" s="1236"/>
      <c r="Y444" s="1236"/>
      <c r="Z444" s="87">
        <v>1536</v>
      </c>
      <c r="AA444" s="1236"/>
      <c r="AB444" s="1236">
        <f t="shared" si="66"/>
        <v>0</v>
      </c>
      <c r="AC444" s="87">
        <v>0</v>
      </c>
      <c r="AD444" s="405"/>
      <c r="AE444" s="1240"/>
      <c r="AF444" s="87">
        <v>1415.6100000000001</v>
      </c>
      <c r="AG444" s="399"/>
      <c r="AH444" s="1237">
        <f t="shared" si="64"/>
        <v>-120.38999999999987</v>
      </c>
      <c r="AI444" s="97">
        <f t="shared" si="67"/>
        <v>-7.8378906249999922E-2</v>
      </c>
      <c r="AJ444" s="405"/>
      <c r="AK444" s="1236"/>
      <c r="AL444" s="87">
        <f t="shared" si="68"/>
        <v>1385.21</v>
      </c>
      <c r="AM444" s="402"/>
      <c r="AN444" s="1237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9" t="s">
        <v>220</v>
      </c>
      <c r="X445" s="1236"/>
      <c r="Y445" s="1236"/>
      <c r="Z445" s="87">
        <v>2850</v>
      </c>
      <c r="AA445" s="1236"/>
      <c r="AB445" s="1236">
        <f t="shared" si="66"/>
        <v>0</v>
      </c>
      <c r="AC445" s="87">
        <v>0</v>
      </c>
      <c r="AD445" s="405"/>
      <c r="AE445" s="1240"/>
      <c r="AF445" s="87">
        <v>3786.84</v>
      </c>
      <c r="AG445" s="399"/>
      <c r="AH445" s="1237">
        <f t="shared" si="64"/>
        <v>936.84000000000015</v>
      </c>
      <c r="AI445" s="1238">
        <f t="shared" si="67"/>
        <v>0.32871578947368424</v>
      </c>
      <c r="AJ445" s="405"/>
      <c r="AK445" s="1236"/>
      <c r="AL445" s="87">
        <f t="shared" si="68"/>
        <v>1109.79</v>
      </c>
      <c r="AM445" s="402"/>
      <c r="AN445" s="1237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9" t="s">
        <v>221</v>
      </c>
      <c r="X446" s="1236"/>
      <c r="Y446" s="1240"/>
      <c r="Z446" s="87">
        <v>5223.0000000000009</v>
      </c>
      <c r="AA446" s="1236"/>
      <c r="AB446" s="1240">
        <f t="shared" si="66"/>
        <v>0</v>
      </c>
      <c r="AC446" s="87">
        <v>0</v>
      </c>
      <c r="AD446" s="405"/>
      <c r="AE446" s="1240"/>
      <c r="AF446" s="87">
        <v>8996.7999999999993</v>
      </c>
      <c r="AG446" s="399"/>
      <c r="AH446" s="1237">
        <f t="shared" si="64"/>
        <v>3773.7999999999984</v>
      </c>
      <c r="AI446" s="97">
        <f t="shared" si="67"/>
        <v>0.72253494160444143</v>
      </c>
      <c r="AJ446" s="405"/>
      <c r="AK446" s="1236"/>
      <c r="AL446" s="87">
        <f t="shared" si="68"/>
        <v>5633</v>
      </c>
      <c r="AM446" s="402"/>
      <c r="AN446" s="1237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9" t="s">
        <v>222</v>
      </c>
      <c r="X447" s="1236"/>
      <c r="Y447" s="1240"/>
      <c r="Z447" s="87">
        <v>7747.0633999999991</v>
      </c>
      <c r="AA447" s="1236"/>
      <c r="AB447" s="1240">
        <f t="shared" si="66"/>
        <v>0</v>
      </c>
      <c r="AC447" s="87">
        <v>0</v>
      </c>
      <c r="AD447" s="405"/>
      <c r="AE447" s="1240"/>
      <c r="AF447" s="87">
        <v>5906.25</v>
      </c>
      <c r="AG447" s="399"/>
      <c r="AH447" s="1237">
        <f t="shared" si="64"/>
        <v>-1840.8133999999991</v>
      </c>
      <c r="AI447" s="1238">
        <f t="shared" si="67"/>
        <v>-0.23761434558545103</v>
      </c>
      <c r="AJ447" s="405"/>
      <c r="AK447" s="1236"/>
      <c r="AL447" s="87">
        <f t="shared" si="68"/>
        <v>5024.0400000000009</v>
      </c>
      <c r="AM447" s="402"/>
      <c r="AN447" s="1237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9" t="s">
        <v>223</v>
      </c>
      <c r="X448" s="1236"/>
      <c r="Y448" s="1240"/>
      <c r="Z448" s="87">
        <v>19893.999360316207</v>
      </c>
      <c r="AA448" s="1236"/>
      <c r="AB448" s="1240">
        <f t="shared" si="66"/>
        <v>0</v>
      </c>
      <c r="AC448" s="87">
        <v>0</v>
      </c>
      <c r="AD448" s="405"/>
      <c r="AE448" s="1240"/>
      <c r="AF448" s="87">
        <v>16374.25</v>
      </c>
      <c r="AG448" s="399"/>
      <c r="AH448" s="1237">
        <f t="shared" si="64"/>
        <v>-3519.7493603162075</v>
      </c>
      <c r="AI448" s="1238">
        <f t="shared" si="67"/>
        <v>-0.17692517711331937</v>
      </c>
      <c r="AJ448" s="405"/>
      <c r="AK448" s="1236"/>
      <c r="AL448" s="87">
        <v>17013.839999999997</v>
      </c>
      <c r="AM448" s="402"/>
      <c r="AN448" s="1237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2987</v>
      </c>
      <c r="W449" s="1239"/>
      <c r="X449" s="1236"/>
      <c r="Y449" s="1240"/>
      <c r="Z449" s="1237">
        <v>0</v>
      </c>
      <c r="AA449" s="1236"/>
      <c r="AB449" s="1236">
        <f t="shared" si="66"/>
        <v>0</v>
      </c>
      <c r="AC449" s="1237">
        <v>0</v>
      </c>
      <c r="AD449" s="405"/>
      <c r="AE449" s="1240"/>
      <c r="AF449" s="87">
        <v>0</v>
      </c>
      <c r="AG449" s="399"/>
      <c r="AH449" s="1237">
        <f t="shared" si="64"/>
        <v>0</v>
      </c>
      <c r="AI449" s="1238">
        <f t="shared" si="67"/>
        <v>0</v>
      </c>
      <c r="AJ449" s="405"/>
      <c r="AK449" s="1236"/>
      <c r="AL449" s="87">
        <f t="shared" si="68"/>
        <v>0</v>
      </c>
      <c r="AM449" s="402"/>
      <c r="AN449" s="1237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9"/>
      <c r="X450" s="1236"/>
      <c r="Y450" s="1240"/>
      <c r="Z450" s="1237">
        <v>0</v>
      </c>
      <c r="AA450" s="1236"/>
      <c r="AB450" s="1236">
        <f t="shared" si="66"/>
        <v>0</v>
      </c>
      <c r="AC450" s="1237">
        <v>0</v>
      </c>
      <c r="AD450" s="405"/>
      <c r="AE450" s="1240"/>
      <c r="AF450" s="87">
        <v>0</v>
      </c>
      <c r="AG450" s="399"/>
      <c r="AH450" s="1237">
        <f t="shared" si="64"/>
        <v>0</v>
      </c>
      <c r="AI450" s="1238">
        <f t="shared" si="67"/>
        <v>0</v>
      </c>
      <c r="AJ450" s="405"/>
      <c r="AK450" s="1236"/>
      <c r="AL450" s="87"/>
      <c r="AM450" s="402"/>
      <c r="AN450" s="1237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9"/>
      <c r="X451" s="1236"/>
      <c r="Y451" s="1240"/>
      <c r="Z451" s="1237">
        <v>0</v>
      </c>
      <c r="AA451" s="1236"/>
      <c r="AB451" s="1236">
        <f t="shared" si="66"/>
        <v>0</v>
      </c>
      <c r="AC451" s="1237">
        <v>0</v>
      </c>
      <c r="AD451" s="405"/>
      <c r="AE451" s="1240"/>
      <c r="AF451" s="87">
        <v>0</v>
      </c>
      <c r="AG451" s="399"/>
      <c r="AH451" s="1237">
        <f t="shared" si="64"/>
        <v>0</v>
      </c>
      <c r="AI451" s="1238">
        <f t="shared" si="67"/>
        <v>0</v>
      </c>
      <c r="AJ451" s="405"/>
      <c r="AK451" s="1236"/>
      <c r="AL451" s="87"/>
      <c r="AM451" s="402"/>
      <c r="AN451" s="1237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9" t="s">
        <v>225</v>
      </c>
      <c r="X453" s="1236"/>
      <c r="Y453" s="1240"/>
      <c r="Z453" s="87">
        <v>150000</v>
      </c>
      <c r="AA453" s="1236"/>
      <c r="AB453" s="1240">
        <f t="shared" ref="AB453:AB462" si="70">IF(AC453=0,0,AC453/(G$13+G$97))</f>
        <v>0</v>
      </c>
      <c r="AC453" s="87">
        <v>0</v>
      </c>
      <c r="AD453" s="405"/>
      <c r="AE453" s="1240"/>
      <c r="AF453" s="87">
        <v>150000</v>
      </c>
      <c r="AG453" s="399"/>
      <c r="AH453" s="1237">
        <f t="shared" ref="AH453:AH461" si="71">AF453-Z453</f>
        <v>0</v>
      </c>
      <c r="AI453" s="1238">
        <f t="shared" ref="AI453:AI461" si="72">IF(Z453=0,0,AH453/Z453)</f>
        <v>0</v>
      </c>
      <c r="AJ453" s="405"/>
      <c r="AK453" s="1236"/>
      <c r="AL453" s="87">
        <v>150000</v>
      </c>
      <c r="AM453" s="402"/>
      <c r="AN453" s="1237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9" t="s">
        <v>227</v>
      </c>
      <c r="X454" s="1236"/>
      <c r="Y454" s="1240"/>
      <c r="Z454" s="87">
        <v>17799.21</v>
      </c>
      <c r="AA454" s="1236"/>
      <c r="AB454" s="1240">
        <f t="shared" si="70"/>
        <v>0</v>
      </c>
      <c r="AC454" s="87">
        <v>0</v>
      </c>
      <c r="AD454" s="405"/>
      <c r="AE454" s="1240"/>
      <c r="AF454" s="87">
        <v>18500.39</v>
      </c>
      <c r="AG454" s="399"/>
      <c r="AH454" s="1237">
        <f t="shared" si="71"/>
        <v>701.18000000000029</v>
      </c>
      <c r="AI454" s="1238">
        <f t="shared" si="72"/>
        <v>3.9393883211670651E-2</v>
      </c>
      <c r="AJ454" s="405"/>
      <c r="AK454" s="1236"/>
      <c r="AL454" s="87">
        <v>16606.53</v>
      </c>
      <c r="AM454" s="402"/>
      <c r="AN454" s="1237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9"/>
      <c r="X456" s="1236"/>
      <c r="Y456" s="1240"/>
      <c r="Z456" s="87">
        <v>0</v>
      </c>
      <c r="AA456" s="1236"/>
      <c r="AB456" s="1240">
        <f t="shared" si="70"/>
        <v>0</v>
      </c>
      <c r="AC456" s="87">
        <v>0</v>
      </c>
      <c r="AD456" s="405"/>
      <c r="AE456" s="1240"/>
      <c r="AF456" s="87">
        <v>0</v>
      </c>
      <c r="AG456" s="399"/>
      <c r="AH456" s="1237">
        <f t="shared" si="71"/>
        <v>0</v>
      </c>
      <c r="AI456" s="1238">
        <f t="shared" si="72"/>
        <v>0</v>
      </c>
      <c r="AJ456" s="405"/>
      <c r="AK456" s="1236"/>
      <c r="AL456" s="87">
        <v>0</v>
      </c>
      <c r="AM456" s="402"/>
      <c r="AN456" s="1237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9" t="s">
        <v>234</v>
      </c>
      <c r="X458" s="1241"/>
      <c r="Y458" s="1242"/>
      <c r="Z458" s="87">
        <v>15000</v>
      </c>
      <c r="AA458" s="1241"/>
      <c r="AB458" s="1242">
        <f t="shared" si="70"/>
        <v>0</v>
      </c>
      <c r="AC458" s="87">
        <v>0</v>
      </c>
      <c r="AD458" s="405"/>
      <c r="AE458" s="1240"/>
      <c r="AF458" s="87">
        <v>15595.650000000001</v>
      </c>
      <c r="AG458" s="399"/>
      <c r="AH458" s="1237">
        <f t="shared" si="71"/>
        <v>595.65000000000146</v>
      </c>
      <c r="AI458" s="1238">
        <f t="shared" si="72"/>
        <v>3.9710000000000099E-2</v>
      </c>
      <c r="AJ458" s="405"/>
      <c r="AK458" s="1236"/>
      <c r="AL458" s="87">
        <v>12964.74</v>
      </c>
      <c r="AM458" s="402"/>
      <c r="AN458" s="1237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9" t="s">
        <v>236</v>
      </c>
      <c r="X459" s="1236"/>
      <c r="Y459" s="1240"/>
      <c r="Z459" s="87">
        <v>19624</v>
      </c>
      <c r="AA459" s="1236"/>
      <c r="AB459" s="1240">
        <f t="shared" si="70"/>
        <v>0</v>
      </c>
      <c r="AC459" s="87">
        <v>0</v>
      </c>
      <c r="AD459" s="405"/>
      <c r="AE459" s="1240"/>
      <c r="AF459" s="87">
        <v>18921.989999999998</v>
      </c>
      <c r="AG459" s="399"/>
      <c r="AH459" s="1237">
        <f t="shared" si="71"/>
        <v>-702.01000000000204</v>
      </c>
      <c r="AI459" s="1238">
        <f t="shared" si="72"/>
        <v>-3.5773033020790969E-2</v>
      </c>
      <c r="AJ459" s="405"/>
      <c r="AK459" s="1236"/>
      <c r="AL459" s="87">
        <v>18921.989999999998</v>
      </c>
      <c r="AM459" s="402"/>
      <c r="AN459" s="1237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3"/>
      <c r="V461" s="267" t="s">
        <v>239</v>
      </c>
      <c r="W461" s="1239" t="s">
        <v>240</v>
      </c>
      <c r="X461" s="1236"/>
      <c r="Y461" s="1240"/>
      <c r="Z461" s="87">
        <v>636.00000000000011</v>
      </c>
      <c r="AA461" s="1236"/>
      <c r="AB461" s="1240">
        <f t="shared" si="70"/>
        <v>0</v>
      </c>
      <c r="AC461" s="87">
        <v>0</v>
      </c>
      <c r="AD461" s="405"/>
      <c r="AE461" s="1240"/>
      <c r="AF461" s="87">
        <v>492</v>
      </c>
      <c r="AG461" s="399"/>
      <c r="AH461" s="1237">
        <f t="shared" si="71"/>
        <v>-144.00000000000011</v>
      </c>
      <c r="AI461" s="418">
        <f t="shared" si="72"/>
        <v>-0.22641509433962279</v>
      </c>
      <c r="AJ461" s="1236"/>
      <c r="AK461" s="1236"/>
      <c r="AL461" s="87">
        <v>521.88</v>
      </c>
      <c r="AM461" s="402"/>
      <c r="AN461" s="1237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3"/>
      <c r="V462" s="267" t="s">
        <v>241</v>
      </c>
      <c r="W462" s="1239" t="s">
        <v>242</v>
      </c>
      <c r="X462" s="1236"/>
      <c r="Y462" s="1240"/>
      <c r="Z462" s="87">
        <v>0</v>
      </c>
      <c r="AA462" s="1236"/>
      <c r="AB462" s="1240">
        <f t="shared" si="70"/>
        <v>0</v>
      </c>
      <c r="AC462" s="87">
        <v>0</v>
      </c>
      <c r="AD462" s="405"/>
      <c r="AE462" s="1240"/>
      <c r="AF462" s="87">
        <v>0</v>
      </c>
      <c r="AG462" s="399"/>
      <c r="AH462" s="1237">
        <v>0</v>
      </c>
      <c r="AI462" s="97">
        <v>0</v>
      </c>
      <c r="AJ462" s="1236"/>
      <c r="AK462" s="1236"/>
      <c r="AL462" s="87">
        <v>0</v>
      </c>
      <c r="AM462" s="402"/>
      <c r="AN462" s="1237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3"/>
      <c r="V463" s="267" t="s">
        <v>42</v>
      </c>
      <c r="W463" s="1239"/>
      <c r="X463" s="1236"/>
      <c r="Y463" s="1240"/>
      <c r="Z463" s="1237">
        <v>0</v>
      </c>
      <c r="AA463" s="1236"/>
      <c r="AB463" s="1236"/>
      <c r="AC463" s="1237">
        <v>0</v>
      </c>
      <c r="AD463" s="405"/>
      <c r="AE463" s="1240"/>
      <c r="AF463" s="87">
        <v>0</v>
      </c>
      <c r="AG463" s="399"/>
      <c r="AH463" s="1237">
        <f>AF463-Z463</f>
        <v>0</v>
      </c>
      <c r="AI463" s="1238">
        <f>IF(Z463=0,0,AH463/Z463)</f>
        <v>0</v>
      </c>
      <c r="AJ463" s="405"/>
      <c r="AK463" s="1236"/>
      <c r="AL463" s="87">
        <v>0</v>
      </c>
      <c r="AM463" s="402"/>
      <c r="AN463" s="1237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3"/>
      <c r="V464" s="267" t="s">
        <v>42</v>
      </c>
      <c r="W464" s="1239"/>
      <c r="X464" s="1236"/>
      <c r="Y464" s="1240"/>
      <c r="Z464" s="1237">
        <v>0</v>
      </c>
      <c r="AA464" s="1236"/>
      <c r="AB464" s="1236"/>
      <c r="AC464" s="1237">
        <v>0</v>
      </c>
      <c r="AD464" s="405"/>
      <c r="AE464" s="1240"/>
      <c r="AF464" s="87">
        <v>0</v>
      </c>
      <c r="AG464" s="399"/>
      <c r="AH464" s="1237">
        <f>AF464-Z464</f>
        <v>0</v>
      </c>
      <c r="AI464" s="1238">
        <f>IF(Z464=0,0,AH464/Z464)</f>
        <v>0</v>
      </c>
      <c r="AJ464" s="405"/>
      <c r="AK464" s="1236"/>
      <c r="AL464" s="87">
        <v>0</v>
      </c>
      <c r="AM464" s="402"/>
      <c r="AN464" s="1237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9"/>
      <c r="X465" s="1236"/>
      <c r="Y465" s="1240"/>
      <c r="Z465" s="1237">
        <v>0</v>
      </c>
      <c r="AA465" s="1236"/>
      <c r="AB465" s="1236"/>
      <c r="AC465" s="1237">
        <v>0</v>
      </c>
      <c r="AD465" s="405"/>
      <c r="AE465" s="1240"/>
      <c r="AF465" s="87">
        <v>0</v>
      </c>
      <c r="AG465" s="399"/>
      <c r="AH465" s="1237">
        <f>AF465-Z465</f>
        <v>0</v>
      </c>
      <c r="AI465" s="1238">
        <f>IF(Z465=0,0,AH465/Z465)</f>
        <v>0</v>
      </c>
      <c r="AJ465" s="405"/>
      <c r="AK465" s="1236"/>
      <c r="AL465" s="87">
        <v>0</v>
      </c>
      <c r="AM465" s="402"/>
      <c r="AN465" s="1237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6"/>
      <c r="X467" s="1236"/>
      <c r="Y467" s="1236"/>
      <c r="Z467" s="105"/>
      <c r="AA467" s="1236"/>
      <c r="AB467" s="1236"/>
      <c r="AC467" s="105"/>
      <c r="AD467" s="405"/>
      <c r="AE467" s="1236"/>
      <c r="AF467" s="105"/>
      <c r="AG467" s="405"/>
      <c r="AH467" s="1237">
        <f t="shared" ref="AH467:AH481" si="76">AF467-Z467</f>
        <v>0</v>
      </c>
      <c r="AI467" s="1238"/>
      <c r="AJ467" s="405"/>
      <c r="AK467" s="1236"/>
      <c r="AL467" s="105"/>
      <c r="AM467" s="419"/>
      <c r="AN467" s="1237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2"/>
      <c r="X469" s="1242"/>
      <c r="Y469" s="1236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7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7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6"/>
      <c r="X470" s="1236"/>
      <c r="Y470" s="1236"/>
      <c r="Z470" s="87">
        <v>111234.72218181819</v>
      </c>
      <c r="AA470" s="1241"/>
      <c r="AB470" s="1242">
        <f t="shared" si="78"/>
        <v>0</v>
      </c>
      <c r="AC470" s="87">
        <v>0</v>
      </c>
      <c r="AD470" s="246"/>
      <c r="AE470" s="1242"/>
      <c r="AF470" s="87">
        <v>82883.199999999997</v>
      </c>
      <c r="AG470" s="245"/>
      <c r="AH470" s="1237">
        <f t="shared" si="76"/>
        <v>-28351.522181818189</v>
      </c>
      <c r="AI470" s="97">
        <f>IF(Z470=0,0,AH470/Z470)</f>
        <v>-0.25488014556710398</v>
      </c>
      <c r="AJ470" s="246"/>
      <c r="AK470" s="1241"/>
      <c r="AL470" s="247">
        <v>107698.5</v>
      </c>
      <c r="AM470" s="1244"/>
      <c r="AN470" s="1237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6"/>
      <c r="X471" s="1236"/>
      <c r="Y471" s="1236"/>
      <c r="Z471" s="87">
        <v>102892.11801818182</v>
      </c>
      <c r="AA471" s="1241"/>
      <c r="AB471" s="1242">
        <f t="shared" si="78"/>
        <v>0</v>
      </c>
      <c r="AC471" s="87">
        <v>0</v>
      </c>
      <c r="AD471" s="246"/>
      <c r="AE471" s="1242"/>
      <c r="AF471" s="87">
        <v>75981.91</v>
      </c>
      <c r="AG471" s="245"/>
      <c r="AH471" s="1237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1"/>
      <c r="AL471" s="247">
        <v>85982.59</v>
      </c>
      <c r="AM471" s="1244"/>
      <c r="AN471" s="1237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6"/>
      <c r="X472" s="1236"/>
      <c r="Y472" s="1236"/>
      <c r="Z472" s="87">
        <v>0</v>
      </c>
      <c r="AA472" s="1241"/>
      <c r="AB472" s="1242">
        <f t="shared" si="78"/>
        <v>0</v>
      </c>
      <c r="AC472" s="87">
        <v>0</v>
      </c>
      <c r="AD472" s="246"/>
      <c r="AE472" s="1242"/>
      <c r="AF472" s="87">
        <v>0</v>
      </c>
      <c r="AG472" s="245"/>
      <c r="AH472" s="1237">
        <f t="shared" si="76"/>
        <v>0</v>
      </c>
      <c r="AI472" s="97">
        <f t="shared" si="79"/>
        <v>0</v>
      </c>
      <c r="AJ472" s="246"/>
      <c r="AK472" s="1241"/>
      <c r="AL472" s="247">
        <v>0</v>
      </c>
      <c r="AM472" s="1244"/>
      <c r="AN472" s="1237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6"/>
      <c r="X473" s="1236"/>
      <c r="Y473" s="1236"/>
      <c r="Z473" s="87">
        <v>0</v>
      </c>
      <c r="AA473" s="1241"/>
      <c r="AB473" s="1242">
        <f t="shared" si="78"/>
        <v>0</v>
      </c>
      <c r="AC473" s="87">
        <v>0</v>
      </c>
      <c r="AD473" s="246"/>
      <c r="AE473" s="1242"/>
      <c r="AF473" s="87">
        <v>0</v>
      </c>
      <c r="AG473" s="245"/>
      <c r="AH473" s="1237">
        <f t="shared" si="76"/>
        <v>0</v>
      </c>
      <c r="AI473" s="97">
        <f t="shared" si="79"/>
        <v>0</v>
      </c>
      <c r="AJ473" s="246"/>
      <c r="AK473" s="1241"/>
      <c r="AL473" s="247">
        <v>0</v>
      </c>
      <c r="AM473" s="1244"/>
      <c r="AN473" s="1237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6"/>
      <c r="X474" s="1236"/>
      <c r="Y474" s="1236"/>
      <c r="Z474" s="87">
        <v>7875</v>
      </c>
      <c r="AA474" s="1241"/>
      <c r="AB474" s="1242">
        <f t="shared" si="78"/>
        <v>0</v>
      </c>
      <c r="AC474" s="87">
        <v>0</v>
      </c>
      <c r="AD474" s="246"/>
      <c r="AE474" s="1242"/>
      <c r="AF474" s="87">
        <v>5625</v>
      </c>
      <c r="AG474" s="245"/>
      <c r="AH474" s="1237">
        <f t="shared" si="76"/>
        <v>-2250</v>
      </c>
      <c r="AI474" s="97">
        <f t="shared" si="79"/>
        <v>-0.2857142857142857</v>
      </c>
      <c r="AJ474" s="246"/>
      <c r="AK474" s="1241"/>
      <c r="AL474" s="247">
        <v>0</v>
      </c>
      <c r="AM474" s="1244"/>
      <c r="AN474" s="1237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6"/>
      <c r="X475" s="1236"/>
      <c r="Y475" s="1236"/>
      <c r="Z475" s="87">
        <v>2814</v>
      </c>
      <c r="AA475" s="1241"/>
      <c r="AB475" s="1242">
        <f t="shared" si="78"/>
        <v>0</v>
      </c>
      <c r="AC475" s="87">
        <v>0</v>
      </c>
      <c r="AD475" s="246"/>
      <c r="AE475" s="1242"/>
      <c r="AF475" s="87">
        <v>100</v>
      </c>
      <c r="AG475" s="245"/>
      <c r="AH475" s="1237">
        <f t="shared" si="76"/>
        <v>-2714</v>
      </c>
      <c r="AI475" s="97">
        <f t="shared" si="79"/>
        <v>-0.96446339729921815</v>
      </c>
      <c r="AJ475" s="246"/>
      <c r="AK475" s="1241"/>
      <c r="AL475" s="247">
        <v>0</v>
      </c>
      <c r="AM475" s="1244"/>
      <c r="AN475" s="1237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6"/>
      <c r="X476" s="1236"/>
      <c r="Y476" s="1236"/>
      <c r="Z476" s="87">
        <v>0</v>
      </c>
      <c r="AA476" s="1241"/>
      <c r="AB476" s="1242">
        <f t="shared" si="78"/>
        <v>0</v>
      </c>
      <c r="AC476" s="87">
        <v>0</v>
      </c>
      <c r="AD476" s="246"/>
      <c r="AE476" s="1242"/>
      <c r="AF476" s="87">
        <v>0</v>
      </c>
      <c r="AG476" s="245"/>
      <c r="AH476" s="1237">
        <f t="shared" si="76"/>
        <v>0</v>
      </c>
      <c r="AI476" s="97">
        <f t="shared" si="79"/>
        <v>0</v>
      </c>
      <c r="AJ476" s="246"/>
      <c r="AK476" s="1241"/>
      <c r="AL476" s="247">
        <v>0</v>
      </c>
      <c r="AM476" s="1244"/>
      <c r="AN476" s="1237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6"/>
      <c r="X477" s="1236"/>
      <c r="Y477" s="1236"/>
      <c r="Z477" s="87">
        <v>58398.229145454556</v>
      </c>
      <c r="AA477" s="1241"/>
      <c r="AB477" s="1242">
        <f t="shared" si="78"/>
        <v>0</v>
      </c>
      <c r="AC477" s="87">
        <v>0</v>
      </c>
      <c r="AD477" s="246"/>
      <c r="AE477" s="1242"/>
      <c r="AF477" s="87">
        <v>53922.659999999996</v>
      </c>
      <c r="AG477" s="245"/>
      <c r="AH477" s="1237">
        <f t="shared" si="76"/>
        <v>-4475.5691454545595</v>
      </c>
      <c r="AI477" s="97">
        <f t="shared" si="79"/>
        <v>-7.663878187653772E-2</v>
      </c>
      <c r="AJ477" s="246"/>
      <c r="AK477" s="1241"/>
      <c r="AL477" s="247">
        <v>53334.92</v>
      </c>
      <c r="AM477" s="1244"/>
      <c r="AN477" s="1237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6"/>
      <c r="X478" s="1236"/>
      <c r="Y478" s="1236"/>
      <c r="Z478" s="1237">
        <v>0</v>
      </c>
      <c r="AA478" s="1236"/>
      <c r="AB478" s="1236">
        <f>IF(AC478=0,0,AC478/(G$13+G$97))</f>
        <v>0</v>
      </c>
      <c r="AC478" s="1237">
        <v>0</v>
      </c>
      <c r="AD478" s="405"/>
      <c r="AE478" s="1240"/>
      <c r="AF478" s="87">
        <v>0</v>
      </c>
      <c r="AG478" s="399"/>
      <c r="AH478" s="1237">
        <f t="shared" si="76"/>
        <v>0</v>
      </c>
      <c r="AI478" s="1238">
        <f t="shared" si="79"/>
        <v>0</v>
      </c>
      <c r="AJ478" s="405"/>
      <c r="AK478" s="1236"/>
      <c r="AL478" s="87">
        <v>0</v>
      </c>
      <c r="AM478" s="1244"/>
      <c r="AN478" s="1237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6"/>
      <c r="X479" s="1236"/>
      <c r="Y479" s="1236"/>
      <c r="Z479" s="1237">
        <v>0</v>
      </c>
      <c r="AA479" s="1236"/>
      <c r="AB479" s="1236">
        <f>IF(AC479=0,0,AC479/(G$13+G$97))</f>
        <v>0</v>
      </c>
      <c r="AC479" s="1237">
        <v>0</v>
      </c>
      <c r="AD479" s="405"/>
      <c r="AE479" s="1240"/>
      <c r="AF479" s="87">
        <v>0</v>
      </c>
      <c r="AG479" s="399"/>
      <c r="AH479" s="1237">
        <f t="shared" si="76"/>
        <v>0</v>
      </c>
      <c r="AI479" s="1238">
        <f t="shared" si="79"/>
        <v>0</v>
      </c>
      <c r="AJ479" s="405"/>
      <c r="AK479" s="1236"/>
      <c r="AL479" s="87">
        <v>0</v>
      </c>
      <c r="AM479" s="1244"/>
      <c r="AN479" s="1237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6"/>
      <c r="X480" s="1236"/>
      <c r="Y480" s="1236"/>
      <c r="Z480" s="87">
        <v>68621.350000000006</v>
      </c>
      <c r="AA480" s="1241"/>
      <c r="AB480" s="1242">
        <f>IF(AC480=0,0,AC480/(G$13+G$97))</f>
        <v>0</v>
      </c>
      <c r="AC480" s="87">
        <v>0</v>
      </c>
      <c r="AD480" s="246"/>
      <c r="AE480" s="1242"/>
      <c r="AF480" s="87">
        <v>56525</v>
      </c>
      <c r="AG480" s="245"/>
      <c r="AH480" s="1237">
        <f t="shared" si="76"/>
        <v>-12096.350000000006</v>
      </c>
      <c r="AI480" s="97">
        <f t="shared" si="79"/>
        <v>-0.17627677100494241</v>
      </c>
      <c r="AJ480" s="246"/>
      <c r="AK480" s="1241"/>
      <c r="AL480" s="247">
        <v>63070</v>
      </c>
      <c r="AM480" s="1244"/>
      <c r="AN480" s="1237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5"/>
      <c r="AI482" s="1246"/>
      <c r="AJ482" s="117"/>
      <c r="AK482" s="118"/>
      <c r="AL482" s="113"/>
      <c r="AM482" s="119"/>
      <c r="AN482" s="1245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7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3"/>
      <c r="U490" s="1243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9"/>
      <c r="X491" s="1236"/>
      <c r="Y491" s="1240"/>
      <c r="Z491" s="87">
        <v>57900</v>
      </c>
      <c r="AA491" s="1236"/>
      <c r="AB491" s="1240">
        <f t="shared" ref="AB491:AB497" si="81">IF(AC491=0,0,AC491/(G$13+G$97))</f>
        <v>0</v>
      </c>
      <c r="AC491" s="87">
        <v>0</v>
      </c>
      <c r="AD491" s="1236"/>
      <c r="AE491" s="1240"/>
      <c r="AF491" s="87">
        <v>53900</v>
      </c>
      <c r="AG491" s="1236"/>
      <c r="AH491" s="1237">
        <f t="shared" ref="AH491:AH498" si="82">AF491-Z491</f>
        <v>-4000</v>
      </c>
      <c r="AI491" s="97">
        <f t="shared" ref="AI491:AI497" si="83">IF(Z491=0,0,AH491/Z491)</f>
        <v>-6.9084628670120898E-2</v>
      </c>
      <c r="AJ491" s="1236"/>
      <c r="AK491" s="1236"/>
      <c r="AL491" s="87">
        <v>62910</v>
      </c>
      <c r="AM491" s="402"/>
      <c r="AN491" s="1237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7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7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7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7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7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7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7">
        <v>0</v>
      </c>
      <c r="AA495" s="1236"/>
      <c r="AB495" s="1236">
        <f t="shared" si="81"/>
        <v>0</v>
      </c>
      <c r="AC495" s="1237">
        <v>0</v>
      </c>
      <c r="AD495" s="405"/>
      <c r="AE495" s="1240"/>
      <c r="AF495" s="87">
        <v>0</v>
      </c>
      <c r="AG495" s="399"/>
      <c r="AH495" s="1237">
        <f t="shared" si="82"/>
        <v>0</v>
      </c>
      <c r="AI495" s="1238">
        <f t="shared" si="83"/>
        <v>0</v>
      </c>
      <c r="AJ495" s="405"/>
      <c r="AK495" s="1236"/>
      <c r="AL495" s="87">
        <v>0</v>
      </c>
      <c r="AM495" s="445"/>
      <c r="AN495" s="1237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7">
        <v>-7812.4590163934427</v>
      </c>
      <c r="AA496" s="1236"/>
      <c r="AB496" s="1236">
        <f>IF(AC496=0,0,AC496/(G$13+G$97))</f>
        <v>0</v>
      </c>
      <c r="AC496" s="1237">
        <v>0</v>
      </c>
      <c r="AD496" s="405"/>
      <c r="AE496" s="1240"/>
      <c r="AF496" s="87">
        <v>-7812.46</v>
      </c>
      <c r="AG496" s="399"/>
      <c r="AH496" s="1237">
        <f t="shared" si="82"/>
        <v>-9.8360655738360947E-4</v>
      </c>
      <c r="AI496" s="1238">
        <f t="shared" si="83"/>
        <v>1.2590229981618301E-7</v>
      </c>
      <c r="AJ496" s="405"/>
      <c r="AK496" s="1236"/>
      <c r="AL496" s="87">
        <v>-12619.57</v>
      </c>
      <c r="AM496" s="445"/>
      <c r="AN496" s="1237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7">
        <v>0</v>
      </c>
      <c r="AA497" s="1236"/>
      <c r="AB497" s="1236">
        <f t="shared" si="81"/>
        <v>0</v>
      </c>
      <c r="AC497" s="1237">
        <v>0</v>
      </c>
      <c r="AD497" s="405"/>
      <c r="AE497" s="1240">
        <f>IF(AF497=0,0,AF497/(J$13+J$97))</f>
        <v>0</v>
      </c>
      <c r="AF497" s="87">
        <v>0</v>
      </c>
      <c r="AG497" s="399"/>
      <c r="AH497" s="1237">
        <f t="shared" si="82"/>
        <v>0</v>
      </c>
      <c r="AI497" s="1238">
        <f t="shared" si="83"/>
        <v>0</v>
      </c>
      <c r="AJ497" s="405"/>
      <c r="AK497" s="1236">
        <f>AL497/(O$13+O$97)</f>
        <v>0</v>
      </c>
      <c r="AL497" s="87">
        <v>0</v>
      </c>
      <c r="AM497" s="445"/>
      <c r="AN497" s="1237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3"/>
      <c r="U505" s="1243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3"/>
      <c r="U506" s="1243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3"/>
      <c r="U507" s="1243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3"/>
      <c r="U508" s="1243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3"/>
      <c r="U509" s="1243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3"/>
      <c r="U510" s="1243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3"/>
      <c r="U511" s="1243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3"/>
      <c r="U512" s="1243"/>
      <c r="V512" s="79"/>
      <c r="W512" s="1243"/>
      <c r="X512" s="1243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3"/>
      <c r="U513" s="1243"/>
      <c r="V513" s="79"/>
      <c r="W513" s="1243"/>
      <c r="X513" s="1243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3"/>
      <c r="U514" s="1243"/>
      <c r="V514" s="79"/>
      <c r="W514" s="1243"/>
      <c r="X514" s="1243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3"/>
      <c r="U515" s="1243"/>
      <c r="V515" s="79"/>
      <c r="W515" s="1243"/>
      <c r="X515" s="1243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3"/>
      <c r="U516" s="1243"/>
      <c r="V516" s="79"/>
      <c r="W516" s="1243"/>
      <c r="X516" s="1243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3"/>
      <c r="U517" s="1243"/>
      <c r="V517" s="1243"/>
      <c r="W517" s="1243"/>
      <c r="X517" s="1243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8"/>
      <c r="D518" s="1243"/>
      <c r="E518" s="1243"/>
      <c r="F518" s="1249"/>
      <c r="G518" s="1243"/>
      <c r="H518" s="1243"/>
      <c r="I518" s="1249"/>
      <c r="J518" s="1243"/>
      <c r="K518" s="1243"/>
      <c r="L518" s="1243"/>
      <c r="M518" s="1249"/>
      <c r="N518" s="1243"/>
      <c r="O518" s="1243"/>
      <c r="P518" s="1243"/>
      <c r="Q518" s="1249"/>
      <c r="R518" s="1249"/>
      <c r="S518" s="1249"/>
      <c r="T518" s="1243"/>
      <c r="U518" s="1243"/>
      <c r="V518" s="1243"/>
      <c r="W518" s="1243"/>
      <c r="X518" s="1243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50"/>
      <c r="D519" s="1243"/>
      <c r="E519" s="1243"/>
      <c r="F519" s="1249"/>
      <c r="G519" s="1243"/>
      <c r="H519" s="1243"/>
      <c r="I519" s="1249"/>
      <c r="J519" s="1243"/>
      <c r="K519" s="1243"/>
      <c r="L519" s="1243"/>
      <c r="M519" s="1249"/>
      <c r="N519" s="1243"/>
      <c r="O519" s="1243"/>
      <c r="P519" s="1243"/>
      <c r="Q519" s="1249"/>
      <c r="R519" s="1249"/>
      <c r="S519" s="1249"/>
      <c r="T519" s="1243"/>
      <c r="U519" s="1243"/>
      <c r="V519" s="1243"/>
      <c r="W519" s="1243"/>
      <c r="X519" s="1243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3"/>
      <c r="D520" s="1243"/>
      <c r="E520" s="1243"/>
      <c r="F520" s="1249"/>
      <c r="G520" s="1243"/>
      <c r="H520" s="1243"/>
      <c r="I520" s="1249"/>
      <c r="J520" s="1243"/>
      <c r="K520" s="1243"/>
      <c r="L520" s="1243"/>
      <c r="M520" s="1249"/>
      <c r="N520" s="1243"/>
      <c r="O520" s="1243"/>
      <c r="P520" s="1243"/>
      <c r="Q520" s="1249"/>
      <c r="R520" s="1249"/>
      <c r="S520" s="1249"/>
      <c r="T520" s="1243"/>
      <c r="U520" s="1243"/>
      <c r="V520" s="1243"/>
      <c r="W520" s="1243"/>
      <c r="X520" s="1243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3"/>
      <c r="D521" s="1243"/>
      <c r="E521" s="1243"/>
      <c r="F521" s="1243"/>
      <c r="G521" s="1243"/>
      <c r="H521" s="1243"/>
      <c r="I521" s="1243"/>
      <c r="J521" s="1248"/>
      <c r="K521" s="1248"/>
      <c r="L521" s="1248"/>
      <c r="M521" s="1249"/>
      <c r="N521" s="1243"/>
      <c r="O521" s="1243"/>
      <c r="P521" s="1243"/>
      <c r="Q521" s="1243"/>
      <c r="R521" s="1243"/>
      <c r="S521" s="1249"/>
      <c r="T521" s="1243"/>
      <c r="U521" s="1243"/>
      <c r="V521" s="1243"/>
      <c r="W521" s="1243"/>
      <c r="X521" s="1243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3"/>
      <c r="D522" s="1243"/>
      <c r="E522" s="1243"/>
      <c r="F522" s="1243"/>
      <c r="G522" s="1243"/>
      <c r="H522" s="1243"/>
      <c r="I522" s="1243"/>
      <c r="J522" s="1243"/>
      <c r="K522" s="1243"/>
      <c r="L522" s="1243"/>
      <c r="M522" s="1249"/>
      <c r="N522" s="1243"/>
      <c r="O522" s="1243"/>
      <c r="P522" s="1243"/>
      <c r="Q522" s="1243"/>
      <c r="R522" s="1243"/>
      <c r="S522" s="1249"/>
      <c r="T522" s="1243"/>
      <c r="U522" s="1243"/>
      <c r="V522" s="1243"/>
      <c r="W522" s="1243"/>
      <c r="X522" s="1243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3"/>
      <c r="D523" s="1243"/>
      <c r="E523" s="1243"/>
      <c r="F523" s="1243"/>
      <c r="G523" s="1243"/>
      <c r="H523" s="1243"/>
      <c r="I523" s="1243"/>
      <c r="J523" s="1243"/>
      <c r="K523" s="1243"/>
      <c r="L523" s="1243"/>
      <c r="M523" s="1249"/>
      <c r="N523" s="1243"/>
      <c r="O523" s="1243"/>
      <c r="P523" s="1243"/>
      <c r="Q523" s="1243"/>
      <c r="R523" s="1243"/>
      <c r="S523" s="1249"/>
      <c r="T523" s="1243"/>
      <c r="U523" s="1243"/>
      <c r="V523" s="1243"/>
      <c r="W523" s="1243"/>
      <c r="X523" s="1243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3"/>
      <c r="D524" s="1243"/>
      <c r="E524" s="1243"/>
      <c r="F524" s="1243"/>
      <c r="G524" s="1243"/>
      <c r="H524" s="1243"/>
      <c r="I524" s="1243"/>
      <c r="J524" s="1243"/>
      <c r="K524" s="1243"/>
      <c r="L524" s="1243"/>
      <c r="M524" s="1249"/>
      <c r="N524" s="1243"/>
      <c r="O524" s="1243"/>
      <c r="P524" s="1243"/>
      <c r="Q524" s="1243"/>
      <c r="R524" s="1243"/>
      <c r="S524" s="1249"/>
      <c r="T524" s="1243"/>
      <c r="U524" s="1243"/>
      <c r="V524" s="1243"/>
      <c r="W524" s="1243"/>
      <c r="X524" s="1243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3"/>
      <c r="D525" s="1243"/>
      <c r="E525" s="1243"/>
      <c r="F525" s="1243"/>
      <c r="G525" s="1243"/>
      <c r="H525" s="1243"/>
      <c r="I525" s="1243"/>
      <c r="J525" s="1243"/>
      <c r="K525" s="1243"/>
      <c r="L525" s="1243"/>
      <c r="M525" s="1249"/>
      <c r="N525" s="1243"/>
      <c r="O525" s="1243"/>
      <c r="P525" s="1243"/>
      <c r="Q525" s="1243"/>
      <c r="R525" s="1243"/>
      <c r="S525" s="1243"/>
      <c r="T525" s="1243"/>
      <c r="U525" s="1243"/>
      <c r="V525" s="1243"/>
      <c r="W525" s="1243"/>
      <c r="X525" s="1243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3"/>
      <c r="D526" s="1243"/>
      <c r="E526" s="1243"/>
      <c r="F526" s="1243"/>
      <c r="G526" s="1243"/>
      <c r="H526" s="1243"/>
      <c r="I526" s="1243"/>
      <c r="J526" s="1248"/>
      <c r="K526" s="1248"/>
      <c r="L526" s="1248"/>
      <c r="M526" s="1251"/>
      <c r="N526" s="1248"/>
      <c r="O526" s="1248"/>
      <c r="P526" s="1248"/>
      <c r="Q526" s="1243"/>
      <c r="R526" s="1243"/>
      <c r="S526" s="1248"/>
      <c r="T526" s="1243"/>
      <c r="U526" s="1243"/>
      <c r="V526" s="1243"/>
      <c r="W526" s="1243"/>
      <c r="X526" s="1243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3"/>
      <c r="D527" s="1243"/>
      <c r="E527" s="1243"/>
      <c r="F527" s="1243"/>
      <c r="G527" s="1243"/>
      <c r="H527" s="1243"/>
      <c r="I527" s="1243"/>
      <c r="J527" s="1243"/>
      <c r="K527" s="1243"/>
      <c r="L527" s="1243"/>
      <c r="M527" s="1243"/>
      <c r="N527" s="1243"/>
      <c r="O527" s="1243"/>
      <c r="P527" s="1243"/>
      <c r="Q527" s="1243"/>
      <c r="R527" s="1243"/>
      <c r="S527" s="1243"/>
      <c r="T527" s="1243"/>
      <c r="U527" s="1243"/>
      <c r="V527" s="1243"/>
      <c r="W527" s="1243"/>
      <c r="X527" s="1243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3"/>
      <c r="D528" s="1243"/>
      <c r="E528" s="1243"/>
      <c r="F528" s="1243"/>
      <c r="G528" s="1243"/>
      <c r="H528" s="1243"/>
      <c r="I528" s="1243"/>
      <c r="J528" s="1243"/>
      <c r="K528" s="1243"/>
      <c r="L528" s="1243"/>
      <c r="M528" s="1243"/>
      <c r="N528" s="1243"/>
      <c r="O528" s="1243"/>
      <c r="P528" s="1243"/>
      <c r="Q528" s="1243"/>
      <c r="R528" s="1243"/>
      <c r="S528" s="1243"/>
      <c r="T528" s="1243"/>
      <c r="U528" s="1243"/>
      <c r="V528" s="1243"/>
      <c r="W528" s="1243"/>
      <c r="X528" s="1243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3"/>
      <c r="D529" s="1243"/>
      <c r="E529" s="1243"/>
      <c r="F529" s="1243"/>
      <c r="G529" s="1243"/>
      <c r="H529" s="1243"/>
      <c r="I529" s="1243"/>
      <c r="J529" s="1243"/>
      <c r="K529" s="1243"/>
      <c r="L529" s="1243"/>
      <c r="M529" s="1243"/>
      <c r="N529" s="1243"/>
      <c r="O529" s="1243"/>
      <c r="P529" s="1243"/>
      <c r="Q529" s="1243"/>
      <c r="R529" s="1243"/>
      <c r="S529" s="1243"/>
      <c r="T529" s="1243"/>
      <c r="U529" s="1243"/>
      <c r="V529" s="1243"/>
      <c r="W529" s="1243"/>
      <c r="X529" s="1243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52"/>
      <c r="D530" s="1253"/>
      <c r="E530" s="1253"/>
      <c r="F530" s="1253"/>
      <c r="G530" s="1253"/>
      <c r="H530" s="1253"/>
      <c r="I530" s="1253"/>
      <c r="J530" s="1253"/>
      <c r="K530" s="1253"/>
      <c r="L530" s="1253"/>
      <c r="M530" s="1253"/>
      <c r="N530" s="1253"/>
      <c r="O530" s="1253"/>
      <c r="P530" s="1253"/>
      <c r="Q530" s="1253"/>
      <c r="R530" s="1253"/>
      <c r="S530" s="1253"/>
      <c r="T530" s="1243"/>
      <c r="U530" s="1243"/>
      <c r="V530" s="1243"/>
      <c r="W530" s="1243"/>
      <c r="X530" s="1243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3"/>
      <c r="D531" s="1243"/>
      <c r="E531" s="1243"/>
      <c r="F531" s="1243"/>
      <c r="G531" s="1243"/>
      <c r="H531" s="1243"/>
      <c r="I531" s="1243"/>
      <c r="J531" s="1243"/>
      <c r="K531" s="1243"/>
      <c r="L531" s="1243"/>
      <c r="M531" s="1243"/>
      <c r="N531" s="1243"/>
      <c r="O531" s="1243"/>
      <c r="P531" s="1243"/>
      <c r="Q531" s="1254"/>
      <c r="R531" s="1243"/>
      <c r="S531" s="1243"/>
      <c r="T531" s="1243"/>
      <c r="U531" s="1243"/>
      <c r="V531" s="1243"/>
      <c r="W531" s="1243"/>
      <c r="X531" s="1243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3"/>
      <c r="D532" s="1243"/>
      <c r="E532" s="1243"/>
      <c r="F532" s="1243"/>
      <c r="G532" s="1243"/>
      <c r="H532" s="1243"/>
      <c r="I532" s="1243"/>
      <c r="J532" s="1243"/>
      <c r="K532" s="1243"/>
      <c r="L532" s="1255"/>
      <c r="M532" s="1256"/>
      <c r="N532" s="1256"/>
      <c r="O532" s="1243"/>
      <c r="P532" s="1255"/>
      <c r="Q532" s="1256"/>
      <c r="R532" s="1256"/>
      <c r="S532" s="1255"/>
      <c r="T532" s="1243"/>
      <c r="U532" s="1243"/>
      <c r="V532" s="1243"/>
      <c r="W532" s="1243"/>
      <c r="X532" s="1243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3"/>
      <c r="D533" s="1243"/>
      <c r="E533" s="1255"/>
      <c r="F533" s="1257"/>
      <c r="G533" s="1243"/>
      <c r="H533" s="1255"/>
      <c r="I533" s="1257"/>
      <c r="J533" s="1256"/>
      <c r="K533" s="1248"/>
      <c r="L533" s="1255"/>
      <c r="M533" s="1256"/>
      <c r="N533" s="1256"/>
      <c r="O533" s="1248"/>
      <c r="P533" s="1255"/>
      <c r="Q533" s="1256"/>
      <c r="R533" s="1256"/>
      <c r="S533" s="1255"/>
      <c r="T533" s="1243"/>
      <c r="U533" s="1243"/>
      <c r="V533" s="1243"/>
      <c r="W533" s="1243"/>
      <c r="X533" s="1243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3"/>
      <c r="D534" s="1258"/>
      <c r="E534" s="1257"/>
      <c r="F534" s="1257"/>
      <c r="G534" s="1258"/>
      <c r="H534" s="1257"/>
      <c r="I534" s="1257"/>
      <c r="J534" s="1257"/>
      <c r="K534" s="1257"/>
      <c r="L534" s="1257"/>
      <c r="M534" s="1257"/>
      <c r="N534" s="1257"/>
      <c r="O534" s="1257"/>
      <c r="P534" s="1257"/>
      <c r="Q534" s="1257"/>
      <c r="R534" s="1257"/>
      <c r="S534" s="1257"/>
      <c r="T534" s="1243"/>
      <c r="U534" s="1243"/>
      <c r="V534" s="1243"/>
      <c r="W534" s="1243"/>
      <c r="X534" s="1243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8"/>
      <c r="D535" s="1243"/>
      <c r="E535" s="1243"/>
      <c r="F535" s="1243"/>
      <c r="G535" s="1243"/>
      <c r="H535" s="1243"/>
      <c r="I535" s="1243"/>
      <c r="J535" s="1243"/>
      <c r="K535" s="1243"/>
      <c r="L535" s="1243"/>
      <c r="M535" s="1243"/>
      <c r="N535" s="1243"/>
      <c r="O535" s="1243"/>
      <c r="P535" s="1243"/>
      <c r="Q535" s="1243"/>
      <c r="R535" s="1243"/>
      <c r="S535" s="1243"/>
      <c r="T535" s="1243"/>
      <c r="U535" s="1243"/>
      <c r="V535" s="1243"/>
      <c r="W535" s="1243"/>
      <c r="X535" s="1243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3"/>
      <c r="D536" s="1243"/>
      <c r="E536" s="1243"/>
      <c r="F536" s="1243"/>
      <c r="G536" s="1243"/>
      <c r="H536" s="1243"/>
      <c r="I536" s="1243"/>
      <c r="J536" s="1243"/>
      <c r="K536" s="1243"/>
      <c r="L536" s="1243"/>
      <c r="M536" s="1243"/>
      <c r="N536" s="1243"/>
      <c r="O536" s="1243"/>
      <c r="P536" s="1243"/>
      <c r="Q536" s="1243"/>
      <c r="R536" s="1243"/>
      <c r="S536" s="1243"/>
      <c r="T536" s="1243"/>
      <c r="U536" s="1243"/>
      <c r="V536" s="1243"/>
      <c r="W536" s="1243"/>
      <c r="X536" s="1243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3"/>
      <c r="D537" s="1243"/>
      <c r="E537" s="1249"/>
      <c r="F537" s="1259"/>
      <c r="G537" s="1243"/>
      <c r="H537" s="1249"/>
      <c r="I537" s="1259"/>
      <c r="J537" s="1259"/>
      <c r="K537" s="1249"/>
      <c r="L537" s="1259"/>
      <c r="M537" s="1249"/>
      <c r="N537" s="1259"/>
      <c r="O537" s="1249"/>
      <c r="P537" s="1259"/>
      <c r="Q537" s="1249"/>
      <c r="R537" s="1249"/>
      <c r="S537" s="1249"/>
      <c r="T537" s="1243"/>
      <c r="U537" s="1243"/>
      <c r="V537" s="1243"/>
      <c r="W537" s="1243"/>
      <c r="X537" s="1243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3"/>
      <c r="D538" s="1243"/>
      <c r="E538" s="1249"/>
      <c r="F538" s="1259"/>
      <c r="G538" s="1243"/>
      <c r="H538" s="1249"/>
      <c r="I538" s="1259"/>
      <c r="J538" s="1259"/>
      <c r="K538" s="1249"/>
      <c r="L538" s="1259"/>
      <c r="M538" s="1249"/>
      <c r="N538" s="1259"/>
      <c r="O538" s="1249"/>
      <c r="P538" s="1259"/>
      <c r="Q538" s="1249"/>
      <c r="R538" s="1249"/>
      <c r="S538" s="1249"/>
      <c r="T538" s="1243"/>
      <c r="U538" s="1243"/>
      <c r="V538" s="1243"/>
      <c r="W538" s="1243"/>
      <c r="X538" s="1243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3"/>
      <c r="D539" s="1243"/>
      <c r="E539" s="1249"/>
      <c r="F539" s="1259"/>
      <c r="G539" s="1243"/>
      <c r="H539" s="1249"/>
      <c r="I539" s="1259"/>
      <c r="J539" s="1259"/>
      <c r="K539" s="1249"/>
      <c r="L539" s="1259"/>
      <c r="M539" s="1249"/>
      <c r="N539" s="1259"/>
      <c r="O539" s="1249"/>
      <c r="P539" s="1259"/>
      <c r="Q539" s="1249"/>
      <c r="R539" s="1249"/>
      <c r="S539" s="1249"/>
      <c r="T539" s="1243"/>
      <c r="U539" s="1243"/>
      <c r="V539" s="1243"/>
      <c r="W539" s="1243"/>
      <c r="X539" s="1243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3"/>
      <c r="D540" s="1243"/>
      <c r="E540" s="1249"/>
      <c r="F540" s="1259"/>
      <c r="G540" s="1243"/>
      <c r="H540" s="1249"/>
      <c r="I540" s="1259"/>
      <c r="J540" s="1259"/>
      <c r="K540" s="1249"/>
      <c r="L540" s="1259"/>
      <c r="M540" s="1249"/>
      <c r="N540" s="1259"/>
      <c r="O540" s="1249"/>
      <c r="P540" s="1259"/>
      <c r="Q540" s="1249"/>
      <c r="R540" s="1249"/>
      <c r="S540" s="1249"/>
      <c r="T540" s="1243"/>
      <c r="U540" s="1243"/>
      <c r="V540" s="1243"/>
      <c r="W540" s="1243"/>
      <c r="X540" s="1243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3"/>
      <c r="D541" s="1243"/>
      <c r="E541" s="1249"/>
      <c r="F541" s="1259"/>
      <c r="G541" s="1243"/>
      <c r="H541" s="1249"/>
      <c r="I541" s="1259"/>
      <c r="J541" s="1259"/>
      <c r="K541" s="1249"/>
      <c r="L541" s="1259"/>
      <c r="M541" s="1249"/>
      <c r="N541" s="1259"/>
      <c r="O541" s="1249"/>
      <c r="P541" s="1259"/>
      <c r="Q541" s="1249"/>
      <c r="R541" s="1249"/>
      <c r="S541" s="1243"/>
      <c r="T541" s="1243"/>
      <c r="U541" s="1243"/>
      <c r="V541" s="1243"/>
      <c r="W541" s="1243"/>
      <c r="X541" s="1243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3"/>
      <c r="D542" s="1243"/>
      <c r="E542" s="1249"/>
      <c r="F542" s="1259"/>
      <c r="G542" s="1243"/>
      <c r="H542" s="1249"/>
      <c r="I542" s="1259"/>
      <c r="J542" s="1259"/>
      <c r="K542" s="1249"/>
      <c r="L542" s="1259"/>
      <c r="M542" s="1249"/>
      <c r="N542" s="1259"/>
      <c r="O542" s="1249"/>
      <c r="P542" s="1259"/>
      <c r="Q542" s="1249"/>
      <c r="R542" s="1249"/>
      <c r="S542" s="1249"/>
      <c r="T542" s="1243"/>
      <c r="U542" s="1243"/>
      <c r="V542" s="1243"/>
      <c r="W542" s="1243"/>
      <c r="X542" s="1243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3"/>
      <c r="D543" s="1243"/>
      <c r="E543" s="1249"/>
      <c r="F543" s="1260"/>
      <c r="G543" s="1243"/>
      <c r="H543" s="1249"/>
      <c r="I543" s="1260"/>
      <c r="J543" s="1259"/>
      <c r="K543" s="1249"/>
      <c r="L543" s="1259"/>
      <c r="M543" s="1249"/>
      <c r="N543" s="1259"/>
      <c r="O543" s="1249"/>
      <c r="P543" s="1243"/>
      <c r="Q543" s="1243"/>
      <c r="R543" s="1249"/>
      <c r="S543" s="1249"/>
      <c r="T543" s="1243"/>
      <c r="U543" s="1243"/>
      <c r="V543" s="1243"/>
      <c r="W543" s="1243"/>
      <c r="X543" s="1243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8"/>
      <c r="D544" s="1248"/>
      <c r="E544" s="1251"/>
      <c r="F544" s="1261"/>
      <c r="G544" s="1248"/>
      <c r="H544" s="1251"/>
      <c r="I544" s="1261"/>
      <c r="J544" s="1261"/>
      <c r="K544" s="1251"/>
      <c r="L544" s="1261"/>
      <c r="M544" s="1251"/>
      <c r="N544" s="1261"/>
      <c r="O544" s="1251"/>
      <c r="P544" s="1261"/>
      <c r="Q544" s="1251"/>
      <c r="R544" s="1251"/>
      <c r="S544" s="1248"/>
      <c r="T544" s="1243"/>
      <c r="U544" s="1243"/>
      <c r="V544" s="1243"/>
      <c r="W544" s="1243"/>
      <c r="X544" s="1243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3"/>
      <c r="D545" s="1243"/>
      <c r="E545" s="1249"/>
      <c r="F545" s="1243"/>
      <c r="G545" s="1243"/>
      <c r="H545" s="1249"/>
      <c r="I545" s="1243"/>
      <c r="J545" s="1259"/>
      <c r="K545" s="1249"/>
      <c r="L545" s="1259"/>
      <c r="M545" s="1249"/>
      <c r="N545" s="1259"/>
      <c r="O545" s="1249"/>
      <c r="P545" s="1248"/>
      <c r="Q545" s="1261"/>
      <c r="R545" s="1261"/>
      <c r="S545" s="1243"/>
      <c r="T545" s="1243"/>
      <c r="U545" s="1243"/>
      <c r="V545" s="1243"/>
      <c r="W545" s="1243"/>
      <c r="X545" s="1243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3"/>
      <c r="D546" s="1243"/>
      <c r="E546" s="1249"/>
      <c r="F546" s="1243"/>
      <c r="G546" s="1243"/>
      <c r="H546" s="1249"/>
      <c r="I546" s="1243"/>
      <c r="J546" s="1259"/>
      <c r="K546" s="1249"/>
      <c r="L546" s="1259"/>
      <c r="M546" s="1249"/>
      <c r="N546" s="1259"/>
      <c r="O546" s="1249"/>
      <c r="P546" s="1243"/>
      <c r="Q546" s="1243"/>
      <c r="R546" s="1249"/>
      <c r="S546" s="1243"/>
      <c r="T546" s="1243"/>
      <c r="U546" s="1243"/>
      <c r="V546" s="1243"/>
      <c r="W546" s="1243"/>
      <c r="X546" s="1243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8"/>
      <c r="D547" s="1243"/>
      <c r="E547" s="1249"/>
      <c r="F547" s="1243"/>
      <c r="G547" s="1243"/>
      <c r="H547" s="1249"/>
      <c r="I547" s="1243"/>
      <c r="J547" s="1259"/>
      <c r="K547" s="1249"/>
      <c r="L547" s="1259"/>
      <c r="M547" s="1249"/>
      <c r="N547" s="1259"/>
      <c r="O547" s="1249"/>
      <c r="P547" s="1243"/>
      <c r="Q547" s="1243"/>
      <c r="R547" s="1249"/>
      <c r="S547" s="1243"/>
      <c r="T547" s="1243"/>
      <c r="U547" s="1243"/>
      <c r="V547" s="1243"/>
      <c r="W547" s="1243"/>
      <c r="X547" s="1243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3"/>
      <c r="D548" s="1243"/>
      <c r="E548" s="1243"/>
      <c r="F548" s="1243"/>
      <c r="G548" s="1243"/>
      <c r="H548" s="1243"/>
      <c r="I548" s="1243"/>
      <c r="J548" s="1243"/>
      <c r="K548" s="1243"/>
      <c r="L548" s="1243"/>
      <c r="M548" s="1243"/>
      <c r="N548" s="1243"/>
      <c r="O548" s="1243"/>
      <c r="P548" s="1243"/>
      <c r="Q548" s="1243"/>
      <c r="R548" s="1243"/>
      <c r="S548" s="1243"/>
      <c r="T548" s="1243"/>
      <c r="U548" s="1243"/>
      <c r="V548" s="1243"/>
      <c r="W548" s="1243"/>
      <c r="X548" s="1243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3"/>
      <c r="D549" s="1243"/>
      <c r="E549" s="1249"/>
      <c r="F549" s="1259"/>
      <c r="G549" s="1243"/>
      <c r="H549" s="1249"/>
      <c r="I549" s="1259"/>
      <c r="J549" s="1259"/>
      <c r="K549" s="1243"/>
      <c r="L549" s="1259"/>
      <c r="M549" s="1243"/>
      <c r="N549" s="1259"/>
      <c r="O549" s="1243"/>
      <c r="P549" s="1259"/>
      <c r="Q549" s="1249"/>
      <c r="R549" s="1249"/>
      <c r="S549" s="1243"/>
      <c r="T549" s="1243"/>
      <c r="U549" s="1243"/>
      <c r="V549" s="1243"/>
      <c r="W549" s="1243"/>
      <c r="X549" s="1243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3"/>
      <c r="D550" s="1243"/>
      <c r="E550" s="1249"/>
      <c r="F550" s="1260"/>
      <c r="G550" s="1243"/>
      <c r="H550" s="1249"/>
      <c r="I550" s="1260"/>
      <c r="J550" s="1259"/>
      <c r="K550" s="1249"/>
      <c r="L550" s="1259"/>
      <c r="M550" s="1249"/>
      <c r="N550" s="1259"/>
      <c r="O550" s="1249"/>
      <c r="P550" s="1243"/>
      <c r="Q550" s="1259"/>
      <c r="R550" s="1259"/>
      <c r="S550" s="1249"/>
      <c r="T550" s="1243"/>
      <c r="U550" s="1243"/>
      <c r="V550" s="1243"/>
      <c r="W550" s="1243"/>
      <c r="X550" s="1243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3"/>
      <c r="D551" s="1243"/>
      <c r="E551" s="1249"/>
      <c r="F551" s="1260"/>
      <c r="G551" s="1243"/>
      <c r="H551" s="1249"/>
      <c r="I551" s="1260"/>
      <c r="J551" s="1259"/>
      <c r="K551" s="1249"/>
      <c r="L551" s="1259"/>
      <c r="M551" s="1249"/>
      <c r="N551" s="1259"/>
      <c r="O551" s="1249"/>
      <c r="P551" s="1243"/>
      <c r="Q551" s="1243"/>
      <c r="R551" s="1249"/>
      <c r="S551" s="1249"/>
      <c r="T551" s="1243"/>
      <c r="U551" s="1243"/>
      <c r="V551" s="1243"/>
      <c r="W551" s="1243"/>
      <c r="X551" s="1243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3"/>
      <c r="D552" s="1243"/>
      <c r="E552" s="1249"/>
      <c r="F552" s="1259"/>
      <c r="G552" s="1243"/>
      <c r="H552" s="1249"/>
      <c r="I552" s="1259"/>
      <c r="J552" s="1259"/>
      <c r="K552" s="1249"/>
      <c r="L552" s="1259"/>
      <c r="M552" s="1249"/>
      <c r="N552" s="1259"/>
      <c r="O552" s="1249"/>
      <c r="P552" s="1243"/>
      <c r="Q552" s="1243"/>
      <c r="R552" s="1249"/>
      <c r="S552" s="1243"/>
      <c r="T552" s="1243"/>
      <c r="U552" s="1243"/>
      <c r="V552" s="1243"/>
      <c r="W552" s="1243"/>
      <c r="X552" s="1243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8"/>
      <c r="D553" s="1248"/>
      <c r="E553" s="1251"/>
      <c r="F553" s="1261"/>
      <c r="G553" s="1248"/>
      <c r="H553" s="1251"/>
      <c r="I553" s="1261"/>
      <c r="J553" s="1261"/>
      <c r="K553" s="1251"/>
      <c r="L553" s="1261"/>
      <c r="M553" s="1251"/>
      <c r="N553" s="1261"/>
      <c r="O553" s="1251"/>
      <c r="P553" s="1261"/>
      <c r="Q553" s="1248"/>
      <c r="R553" s="1251"/>
      <c r="S553" s="1248"/>
      <c r="T553" s="1243"/>
      <c r="U553" s="1243"/>
      <c r="V553" s="1243"/>
      <c r="W553" s="1243"/>
      <c r="X553" s="1243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3"/>
      <c r="D554" s="1243"/>
      <c r="E554" s="1243"/>
      <c r="F554" s="1243"/>
      <c r="G554" s="1243"/>
      <c r="H554" s="1243"/>
      <c r="I554" s="1243"/>
      <c r="J554" s="1243"/>
      <c r="K554" s="1243"/>
      <c r="L554" s="1243"/>
      <c r="M554" s="1243"/>
      <c r="N554" s="1243"/>
      <c r="O554" s="1243"/>
      <c r="P554" s="1248"/>
      <c r="Q554" s="1261"/>
      <c r="R554" s="1261"/>
      <c r="S554" s="1243"/>
      <c r="T554" s="1243"/>
      <c r="U554" s="1243"/>
      <c r="V554" s="1243"/>
      <c r="W554" s="1243"/>
      <c r="X554" s="1243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3"/>
      <c r="D555" s="1243"/>
      <c r="E555" s="1249"/>
      <c r="F555" s="1259"/>
      <c r="G555" s="1243"/>
      <c r="H555" s="1249"/>
      <c r="I555" s="1259"/>
      <c r="J555" s="1259"/>
      <c r="K555" s="1249"/>
      <c r="L555" s="1259"/>
      <c r="M555" s="1249"/>
      <c r="N555" s="1259"/>
      <c r="O555" s="1249"/>
      <c r="P555" s="1243"/>
      <c r="Q555" s="1243"/>
      <c r="R555" s="1249"/>
      <c r="S555" s="1243"/>
      <c r="T555" s="1243"/>
      <c r="U555" s="1243"/>
      <c r="V555" s="1243"/>
      <c r="W555" s="1243"/>
      <c r="X555" s="1243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8"/>
      <c r="D556" s="1243"/>
      <c r="E556" s="1249"/>
      <c r="F556" s="1259"/>
      <c r="G556" s="1243"/>
      <c r="H556" s="1249"/>
      <c r="I556" s="1259"/>
      <c r="J556" s="1259"/>
      <c r="K556" s="1249"/>
      <c r="L556" s="1259"/>
      <c r="M556" s="1249"/>
      <c r="N556" s="1259"/>
      <c r="O556" s="1249"/>
      <c r="P556" s="1243"/>
      <c r="Q556" s="1243"/>
      <c r="R556" s="1249"/>
      <c r="S556" s="1243"/>
      <c r="T556" s="1243"/>
      <c r="U556" s="1243"/>
      <c r="V556" s="1243"/>
      <c r="W556" s="1243"/>
      <c r="X556" s="1243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3"/>
      <c r="D557" s="1243"/>
      <c r="E557" s="1249"/>
      <c r="F557" s="1259"/>
      <c r="G557" s="1243"/>
      <c r="H557" s="1249"/>
      <c r="I557" s="1259"/>
      <c r="J557" s="1259"/>
      <c r="K557" s="1249"/>
      <c r="L557" s="1259"/>
      <c r="M557" s="1249"/>
      <c r="N557" s="1259"/>
      <c r="O557" s="1249"/>
      <c r="P557" s="1243"/>
      <c r="Q557" s="1243"/>
      <c r="R557" s="1249"/>
      <c r="S557" s="1243"/>
      <c r="T557" s="1243"/>
      <c r="U557" s="1243"/>
      <c r="V557" s="1243"/>
      <c r="W557" s="1243"/>
      <c r="X557" s="1243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3"/>
      <c r="D558" s="1243"/>
      <c r="E558" s="1243"/>
      <c r="F558" s="1243"/>
      <c r="G558" s="1243"/>
      <c r="H558" s="1243"/>
      <c r="I558" s="1243"/>
      <c r="J558" s="1243"/>
      <c r="K558" s="1243"/>
      <c r="L558" s="1243"/>
      <c r="M558" s="1243"/>
      <c r="N558" s="1243"/>
      <c r="O558" s="1243"/>
      <c r="P558" s="1259"/>
      <c r="Q558" s="1249"/>
      <c r="R558" s="1243"/>
      <c r="S558" s="1249"/>
      <c r="T558" s="1243"/>
      <c r="U558" s="1243"/>
      <c r="V558" s="1243"/>
      <c r="W558" s="1243"/>
      <c r="X558" s="1243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3"/>
      <c r="D559" s="1243"/>
      <c r="E559" s="1243"/>
      <c r="F559" s="1243"/>
      <c r="G559" s="1243"/>
      <c r="H559" s="1243"/>
      <c r="I559" s="1243"/>
      <c r="J559" s="1243"/>
      <c r="K559" s="1243"/>
      <c r="L559" s="1243"/>
      <c r="M559" s="1243"/>
      <c r="N559" s="1243"/>
      <c r="O559" s="1243"/>
      <c r="P559" s="1259"/>
      <c r="Q559" s="1249"/>
      <c r="R559" s="1243"/>
      <c r="S559" s="1249"/>
      <c r="T559" s="1243"/>
      <c r="U559" s="1243"/>
      <c r="V559" s="1243"/>
      <c r="W559" s="1243"/>
      <c r="X559" s="1243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3"/>
      <c r="D560" s="1243"/>
      <c r="E560" s="1243"/>
      <c r="F560" s="1243"/>
      <c r="G560" s="1243"/>
      <c r="H560" s="1243"/>
      <c r="I560" s="1243"/>
      <c r="J560" s="1243"/>
      <c r="K560" s="1243"/>
      <c r="L560" s="1243"/>
      <c r="M560" s="1243"/>
      <c r="N560" s="1243"/>
      <c r="O560" s="1243"/>
      <c r="P560" s="1259"/>
      <c r="Q560" s="1249"/>
      <c r="R560" s="1243"/>
      <c r="S560" s="1249"/>
      <c r="T560" s="1243"/>
      <c r="U560" s="1243"/>
      <c r="V560" s="1243"/>
      <c r="W560" s="1243"/>
      <c r="X560" s="1243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3"/>
      <c r="D561" s="1243"/>
      <c r="E561" s="1243"/>
      <c r="F561" s="1243"/>
      <c r="G561" s="1243"/>
      <c r="H561" s="1243"/>
      <c r="I561" s="1243"/>
      <c r="J561" s="1243"/>
      <c r="K561" s="1243"/>
      <c r="L561" s="1243"/>
      <c r="M561" s="1243"/>
      <c r="N561" s="1243"/>
      <c r="O561" s="1243"/>
      <c r="P561" s="1259"/>
      <c r="Q561" s="1249"/>
      <c r="R561" s="1243"/>
      <c r="S561" s="1249"/>
      <c r="T561" s="1243"/>
      <c r="U561" s="1243"/>
      <c r="V561" s="1243"/>
      <c r="W561" s="1243"/>
      <c r="X561" s="1243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3"/>
      <c r="D562" s="1243"/>
      <c r="E562" s="1243"/>
      <c r="F562" s="1243"/>
      <c r="G562" s="1243"/>
      <c r="H562" s="1243"/>
      <c r="I562" s="1243"/>
      <c r="J562" s="1243"/>
      <c r="K562" s="1243"/>
      <c r="L562" s="1243"/>
      <c r="M562" s="1243"/>
      <c r="N562" s="1243"/>
      <c r="O562" s="1243"/>
      <c r="P562" s="1259"/>
      <c r="Q562" s="1249"/>
      <c r="R562" s="1243"/>
      <c r="S562" s="1249"/>
      <c r="T562" s="1243"/>
      <c r="U562" s="1243"/>
      <c r="V562" s="1243"/>
      <c r="W562" s="1243"/>
      <c r="X562" s="1243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3"/>
      <c r="D563" s="1243"/>
      <c r="E563" s="1243"/>
      <c r="F563" s="1243"/>
      <c r="G563" s="1243"/>
      <c r="H563" s="1243"/>
      <c r="I563" s="1243"/>
      <c r="J563" s="1243"/>
      <c r="K563" s="1243"/>
      <c r="L563" s="1243"/>
      <c r="M563" s="1243"/>
      <c r="N563" s="1243"/>
      <c r="O563" s="1243"/>
      <c r="P563" s="1259"/>
      <c r="Q563" s="1249"/>
      <c r="R563" s="1243"/>
      <c r="S563" s="1249"/>
      <c r="T563" s="1243"/>
      <c r="U563" s="1243"/>
      <c r="V563" s="1243"/>
      <c r="W563" s="1243"/>
      <c r="X563" s="1243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3"/>
      <c r="D564" s="1243"/>
      <c r="E564" s="1243"/>
      <c r="F564" s="1243"/>
      <c r="G564" s="1243"/>
      <c r="H564" s="1243"/>
      <c r="I564" s="1243"/>
      <c r="J564" s="1243"/>
      <c r="K564" s="1243"/>
      <c r="L564" s="1243"/>
      <c r="M564" s="1243"/>
      <c r="N564" s="1243"/>
      <c r="O564" s="1243"/>
      <c r="P564" s="1259"/>
      <c r="Q564" s="1249"/>
      <c r="R564" s="1243"/>
      <c r="S564" s="1249"/>
      <c r="T564" s="1243"/>
      <c r="U564" s="1243"/>
      <c r="V564" s="1243"/>
      <c r="W564" s="1243"/>
      <c r="X564" s="1243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3"/>
      <c r="D565" s="1243"/>
      <c r="E565" s="1243"/>
      <c r="F565" s="1243"/>
      <c r="G565" s="1243"/>
      <c r="H565" s="1243"/>
      <c r="I565" s="1243"/>
      <c r="J565" s="1243"/>
      <c r="K565" s="1243"/>
      <c r="L565" s="1243"/>
      <c r="M565" s="1243"/>
      <c r="N565" s="1243"/>
      <c r="O565" s="1243"/>
      <c r="P565" s="1259"/>
      <c r="Q565" s="1249"/>
      <c r="R565" s="1243"/>
      <c r="S565" s="1249"/>
      <c r="T565" s="1243"/>
      <c r="U565" s="1243"/>
      <c r="V565" s="1243"/>
      <c r="W565" s="1243"/>
      <c r="X565" s="1243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8"/>
      <c r="D566" s="1248"/>
      <c r="E566" s="1243"/>
      <c r="F566" s="1243"/>
      <c r="G566" s="1248"/>
      <c r="H566" s="1243"/>
      <c r="I566" s="1243"/>
      <c r="J566" s="1243"/>
      <c r="K566" s="1243"/>
      <c r="L566" s="1243"/>
      <c r="M566" s="1243"/>
      <c r="N566" s="1243"/>
      <c r="O566" s="1243"/>
      <c r="P566" s="1261"/>
      <c r="Q566" s="1251"/>
      <c r="R566" s="1243"/>
      <c r="S566" s="1251"/>
      <c r="T566" s="1243"/>
      <c r="U566" s="1243"/>
      <c r="V566" s="1243"/>
      <c r="W566" s="1243"/>
      <c r="X566" s="1243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3"/>
      <c r="D567" s="1243"/>
      <c r="E567" s="1243"/>
      <c r="F567" s="1243"/>
      <c r="G567" s="1243"/>
      <c r="H567" s="1243"/>
      <c r="I567" s="1243"/>
      <c r="J567" s="1243"/>
      <c r="K567" s="1243"/>
      <c r="L567" s="1243"/>
      <c r="M567" s="1243"/>
      <c r="N567" s="1243"/>
      <c r="O567" s="1243"/>
      <c r="P567" s="1261"/>
      <c r="Q567" s="1261"/>
      <c r="R567" s="1243"/>
      <c r="S567" s="1243"/>
      <c r="T567" s="1243"/>
      <c r="U567" s="1243"/>
      <c r="V567" s="1243"/>
      <c r="W567" s="1243"/>
      <c r="X567" s="1243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3"/>
      <c r="D568" s="1243"/>
      <c r="E568" s="1243"/>
      <c r="F568" s="1243"/>
      <c r="G568" s="1243"/>
      <c r="H568" s="1243"/>
      <c r="I568" s="1243"/>
      <c r="J568" s="1243"/>
      <c r="K568" s="1243"/>
      <c r="L568" s="1243"/>
      <c r="M568" s="1243"/>
      <c r="N568" s="1243"/>
      <c r="O568" s="1243"/>
      <c r="P568" s="1259"/>
      <c r="Q568" s="1249"/>
      <c r="R568" s="1243"/>
      <c r="S568" s="1249"/>
      <c r="T568" s="1243"/>
      <c r="U568" s="1243"/>
      <c r="V568" s="1243"/>
      <c r="W568" s="1243"/>
      <c r="X568" s="1243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3"/>
      <c r="D569" s="1243"/>
      <c r="E569" s="1243"/>
      <c r="F569" s="1243"/>
      <c r="G569" s="1243"/>
      <c r="H569" s="1243"/>
      <c r="I569" s="1243"/>
      <c r="J569" s="1243"/>
      <c r="K569" s="1243"/>
      <c r="L569" s="1243"/>
      <c r="M569" s="1243"/>
      <c r="N569" s="1243"/>
      <c r="O569" s="1243"/>
      <c r="P569" s="1259"/>
      <c r="Q569" s="1249"/>
      <c r="R569" s="1243"/>
      <c r="S569" s="1249"/>
      <c r="T569" s="1243"/>
      <c r="U569" s="1243"/>
      <c r="V569" s="1243"/>
      <c r="W569" s="1243"/>
      <c r="X569" s="1243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8"/>
      <c r="D570" s="1243"/>
      <c r="E570" s="1243"/>
      <c r="F570" s="1243"/>
      <c r="G570" s="1243"/>
      <c r="H570" s="1243"/>
      <c r="I570" s="1243"/>
      <c r="J570" s="1243"/>
      <c r="K570" s="1243"/>
      <c r="L570" s="1243"/>
      <c r="M570" s="1243"/>
      <c r="N570" s="1243"/>
      <c r="O570" s="1243"/>
      <c r="P570" s="1261"/>
      <c r="Q570" s="1251"/>
      <c r="R570" s="1243"/>
      <c r="S570" s="1251"/>
      <c r="T570" s="1243"/>
      <c r="U570" s="1243"/>
      <c r="V570" s="1243"/>
      <c r="W570" s="1243"/>
      <c r="X570" s="1243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3"/>
      <c r="D571" s="1243"/>
      <c r="E571" s="1243"/>
      <c r="F571" s="1243"/>
      <c r="G571" s="1243"/>
      <c r="H571" s="1243"/>
      <c r="I571" s="1243"/>
      <c r="J571" s="1243"/>
      <c r="K571" s="1243"/>
      <c r="L571" s="1243"/>
      <c r="M571" s="1243"/>
      <c r="N571" s="1243"/>
      <c r="O571" s="1243"/>
      <c r="P571" s="1261"/>
      <c r="Q571" s="1261"/>
      <c r="R571" s="1243"/>
      <c r="S571" s="1243"/>
      <c r="T571" s="1243"/>
      <c r="U571" s="1243"/>
      <c r="V571" s="1243"/>
      <c r="W571" s="1243"/>
      <c r="X571" s="1243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3"/>
      <c r="D572" s="1243"/>
      <c r="E572" s="1243"/>
      <c r="F572" s="1243"/>
      <c r="G572" s="1243"/>
      <c r="H572" s="1243"/>
      <c r="I572" s="1243"/>
      <c r="J572" s="1243"/>
      <c r="K572" s="1243"/>
      <c r="L572" s="1243"/>
      <c r="M572" s="1243"/>
      <c r="N572" s="1243"/>
      <c r="O572" s="1243"/>
      <c r="P572" s="1259"/>
      <c r="Q572" s="1249"/>
      <c r="R572" s="1243"/>
      <c r="S572" s="1249"/>
      <c r="T572" s="1243"/>
      <c r="U572" s="1243"/>
      <c r="V572" s="1243"/>
      <c r="W572" s="1243"/>
      <c r="X572" s="1243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8"/>
      <c r="D573" s="1248"/>
      <c r="E573" s="1243"/>
      <c r="F573" s="1243"/>
      <c r="G573" s="1248"/>
      <c r="H573" s="1243"/>
      <c r="I573" s="1243"/>
      <c r="J573" s="1243"/>
      <c r="K573" s="1243"/>
      <c r="L573" s="1243"/>
      <c r="M573" s="1243"/>
      <c r="N573" s="1243"/>
      <c r="O573" s="1243"/>
      <c r="P573" s="1261"/>
      <c r="Q573" s="1251"/>
      <c r="R573" s="1243"/>
      <c r="S573" s="1251"/>
      <c r="T573" s="1243"/>
      <c r="U573" s="1243"/>
      <c r="V573" s="1243"/>
      <c r="W573" s="1243"/>
      <c r="X573" s="1243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3"/>
      <c r="D574" s="1243"/>
      <c r="E574" s="1243"/>
      <c r="F574" s="1243"/>
      <c r="G574" s="1243"/>
      <c r="H574" s="1243"/>
      <c r="I574" s="1243"/>
      <c r="J574" s="1243"/>
      <c r="K574" s="1243"/>
      <c r="L574" s="1243"/>
      <c r="M574" s="1243"/>
      <c r="N574" s="1243"/>
      <c r="O574" s="1243"/>
      <c r="P574" s="1261"/>
      <c r="Q574" s="1261"/>
      <c r="R574" s="1243"/>
      <c r="S574" s="1243"/>
      <c r="T574" s="1243"/>
      <c r="U574" s="1243"/>
      <c r="V574" s="1243"/>
      <c r="W574" s="1243"/>
      <c r="X574" s="1243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3"/>
      <c r="D575" s="1243"/>
      <c r="E575" s="1249"/>
      <c r="F575" s="1259"/>
      <c r="G575" s="1243"/>
      <c r="H575" s="1249"/>
      <c r="I575" s="1259"/>
      <c r="J575" s="1259"/>
      <c r="K575" s="1249"/>
      <c r="L575" s="1259"/>
      <c r="M575" s="1249"/>
      <c r="N575" s="1259"/>
      <c r="O575" s="1249"/>
      <c r="P575" s="1259"/>
      <c r="Q575" s="1249"/>
      <c r="R575" s="1249"/>
      <c r="S575" s="1243"/>
      <c r="T575" s="1243"/>
      <c r="U575" s="1243"/>
      <c r="V575" s="1243"/>
      <c r="W575" s="1243"/>
      <c r="X575" s="1243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8"/>
      <c r="D576" s="1248"/>
      <c r="E576" s="1251"/>
      <c r="F576" s="1261"/>
      <c r="G576" s="1248"/>
      <c r="H576" s="1251"/>
      <c r="I576" s="1261"/>
      <c r="J576" s="1261"/>
      <c r="K576" s="1251"/>
      <c r="L576" s="1261"/>
      <c r="M576" s="1251"/>
      <c r="N576" s="1261"/>
      <c r="O576" s="1251"/>
      <c r="P576" s="1261"/>
      <c r="Q576" s="1251"/>
      <c r="R576" s="1251"/>
      <c r="S576" s="1251"/>
      <c r="T576" s="1243"/>
      <c r="U576" s="1243"/>
      <c r="V576" s="1243"/>
      <c r="W576" s="1243"/>
      <c r="X576" s="1243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3"/>
      <c r="D577" s="1243"/>
      <c r="E577" s="1249"/>
      <c r="F577" s="1259"/>
      <c r="G577" s="1243"/>
      <c r="H577" s="1249"/>
      <c r="I577" s="1259"/>
      <c r="J577" s="1249"/>
      <c r="K577" s="1259"/>
      <c r="L577" s="1249"/>
      <c r="M577" s="1243"/>
      <c r="N577" s="1249"/>
      <c r="O577" s="1259"/>
      <c r="P577" s="1251"/>
      <c r="Q577" s="1261"/>
      <c r="R577" s="1261"/>
      <c r="S577" s="1249"/>
      <c r="T577" s="1243"/>
      <c r="U577" s="1243"/>
      <c r="V577" s="1243"/>
      <c r="W577" s="1243"/>
      <c r="X577" s="1243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3"/>
      <c r="D578" s="1243"/>
      <c r="E578" s="1249"/>
      <c r="F578" s="1259"/>
      <c r="G578" s="1243"/>
      <c r="H578" s="1249"/>
      <c r="I578" s="1259"/>
      <c r="J578" s="1249"/>
      <c r="K578" s="1259"/>
      <c r="L578" s="1249"/>
      <c r="M578" s="1243"/>
      <c r="N578" s="1249"/>
      <c r="O578" s="1259"/>
      <c r="P578" s="1249"/>
      <c r="Q578" s="1243"/>
      <c r="R578" s="1259"/>
      <c r="S578" s="1249"/>
      <c r="T578" s="1243"/>
      <c r="U578" s="1243"/>
      <c r="V578" s="1243"/>
      <c r="W578" s="1243"/>
      <c r="X578" s="1243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3"/>
      <c r="D579" s="1243"/>
      <c r="E579" s="1243"/>
      <c r="F579" s="1243"/>
      <c r="G579" s="1243"/>
      <c r="H579" s="1243"/>
      <c r="I579" s="1243"/>
      <c r="J579" s="1243"/>
      <c r="K579" s="1243"/>
      <c r="L579" s="1243"/>
      <c r="M579" s="1243"/>
      <c r="N579" s="1243"/>
      <c r="O579" s="1243"/>
      <c r="P579" s="1243"/>
      <c r="Q579" s="1243"/>
      <c r="R579" s="1259"/>
      <c r="S579" s="1249"/>
      <c r="T579" s="1243"/>
      <c r="U579" s="1243"/>
      <c r="V579" s="1243"/>
      <c r="W579" s="1243"/>
      <c r="X579" s="1243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3"/>
      <c r="D580" s="1243"/>
      <c r="E580" s="1249"/>
      <c r="F580" s="1259"/>
      <c r="G580" s="1243"/>
      <c r="H580" s="1249"/>
      <c r="I580" s="1259"/>
      <c r="J580" s="1249"/>
      <c r="K580" s="1259"/>
      <c r="L580" s="1249"/>
      <c r="M580" s="1243"/>
      <c r="N580" s="1249"/>
      <c r="O580" s="1259"/>
      <c r="P580" s="1249"/>
      <c r="Q580" s="1243"/>
      <c r="R580" s="1259"/>
      <c r="S580" s="1249"/>
      <c r="T580" s="1243"/>
      <c r="U580" s="1243"/>
      <c r="V580" s="1243"/>
      <c r="W580" s="1243"/>
      <c r="X580" s="1243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3"/>
      <c r="D581" s="1243"/>
      <c r="E581" s="1249"/>
      <c r="F581" s="1259"/>
      <c r="G581" s="1243"/>
      <c r="H581" s="1249"/>
      <c r="I581" s="1259"/>
      <c r="J581" s="1249"/>
      <c r="K581" s="1259"/>
      <c r="L581" s="1249"/>
      <c r="M581" s="1243"/>
      <c r="N581" s="1249"/>
      <c r="O581" s="1259"/>
      <c r="P581" s="1249"/>
      <c r="Q581" s="1243"/>
      <c r="R581" s="1259"/>
      <c r="S581" s="1249"/>
      <c r="T581" s="1243"/>
      <c r="U581" s="1243"/>
      <c r="V581" s="1243"/>
      <c r="W581" s="1243"/>
      <c r="X581" s="1243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3"/>
      <c r="D582" s="1243"/>
      <c r="E582" s="1249"/>
      <c r="F582" s="1259"/>
      <c r="G582" s="1243"/>
      <c r="H582" s="1249"/>
      <c r="I582" s="1259"/>
      <c r="J582" s="1249"/>
      <c r="K582" s="1259"/>
      <c r="L582" s="1249"/>
      <c r="M582" s="1243"/>
      <c r="N582" s="1249"/>
      <c r="O582" s="1259"/>
      <c r="P582" s="1249"/>
      <c r="Q582" s="1243"/>
      <c r="R582" s="1259"/>
      <c r="S582" s="1249"/>
      <c r="T582" s="1243"/>
      <c r="U582" s="1243"/>
      <c r="V582" s="1243"/>
      <c r="W582" s="1243"/>
      <c r="X582" s="1243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3"/>
      <c r="D583" s="1243"/>
      <c r="E583" s="1249"/>
      <c r="F583" s="1259"/>
      <c r="G583" s="1243"/>
      <c r="H583" s="1249"/>
      <c r="I583" s="1259"/>
      <c r="J583" s="1249"/>
      <c r="K583" s="1259"/>
      <c r="L583" s="1249"/>
      <c r="M583" s="1243"/>
      <c r="N583" s="1249"/>
      <c r="O583" s="1259"/>
      <c r="P583" s="1249"/>
      <c r="Q583" s="1243"/>
      <c r="R583" s="1259"/>
      <c r="S583" s="1249"/>
      <c r="T583" s="1243"/>
      <c r="U583" s="1243"/>
      <c r="V583" s="1243"/>
      <c r="W583" s="1243"/>
      <c r="X583" s="1243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3"/>
      <c r="D584" s="1243"/>
      <c r="E584" s="1249"/>
      <c r="F584" s="1259"/>
      <c r="G584" s="1243"/>
      <c r="H584" s="1249"/>
      <c r="I584" s="1259"/>
      <c r="J584" s="1249"/>
      <c r="K584" s="1259"/>
      <c r="L584" s="1249"/>
      <c r="M584" s="1243"/>
      <c r="N584" s="1249"/>
      <c r="O584" s="1259"/>
      <c r="P584" s="1249"/>
      <c r="Q584" s="1243"/>
      <c r="R584" s="1259"/>
      <c r="S584" s="1249"/>
      <c r="T584" s="1243"/>
      <c r="U584" s="1243"/>
      <c r="V584" s="1243"/>
      <c r="W584" s="1243"/>
      <c r="X584" s="1243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3"/>
      <c r="D585" s="1243"/>
      <c r="E585" s="1249"/>
      <c r="F585" s="1259"/>
      <c r="G585" s="1243"/>
      <c r="H585" s="1249"/>
      <c r="I585" s="1259"/>
      <c r="J585" s="1249"/>
      <c r="K585" s="1259"/>
      <c r="L585" s="1249"/>
      <c r="M585" s="1243"/>
      <c r="N585" s="1249"/>
      <c r="O585" s="1259"/>
      <c r="P585" s="1249"/>
      <c r="Q585" s="1243"/>
      <c r="R585" s="1259"/>
      <c r="S585" s="1249"/>
      <c r="T585" s="1243"/>
      <c r="U585" s="1243"/>
      <c r="V585" s="1243"/>
      <c r="W585" s="1243"/>
      <c r="X585" s="1243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3"/>
      <c r="D586" s="1243"/>
      <c r="E586" s="1249"/>
      <c r="F586" s="1259"/>
      <c r="G586" s="1243"/>
      <c r="H586" s="1249"/>
      <c r="I586" s="1259"/>
      <c r="J586" s="1249"/>
      <c r="K586" s="1259"/>
      <c r="L586" s="1249"/>
      <c r="M586" s="1243"/>
      <c r="N586" s="1249"/>
      <c r="O586" s="1259"/>
      <c r="P586" s="1249"/>
      <c r="Q586" s="1243"/>
      <c r="R586" s="1259"/>
      <c r="S586" s="1249"/>
      <c r="T586" s="1243"/>
      <c r="U586" s="1243"/>
      <c r="V586" s="1243"/>
      <c r="W586" s="1243"/>
      <c r="X586" s="1243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3"/>
      <c r="D587" s="1243"/>
      <c r="E587" s="1243"/>
      <c r="F587" s="1243"/>
      <c r="G587" s="1243"/>
      <c r="H587" s="1243"/>
      <c r="I587" s="1243"/>
      <c r="J587" s="1243"/>
      <c r="K587" s="1243"/>
      <c r="L587" s="1243"/>
      <c r="M587" s="1243"/>
      <c r="N587" s="1243"/>
      <c r="O587" s="1243"/>
      <c r="P587" s="1243"/>
      <c r="Q587" s="1243"/>
      <c r="R587" s="1243"/>
      <c r="S587" s="1243"/>
      <c r="T587" s="1243"/>
      <c r="U587" s="1243"/>
      <c r="V587" s="1243"/>
      <c r="W587" s="1243"/>
      <c r="X587" s="1243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3"/>
      <c r="D588" s="1243"/>
      <c r="E588" s="1243"/>
      <c r="F588" s="1243"/>
      <c r="G588" s="1243"/>
      <c r="H588" s="1243"/>
      <c r="I588" s="1243"/>
      <c r="J588" s="1243"/>
      <c r="K588" s="1243"/>
      <c r="L588" s="1243"/>
      <c r="M588" s="1243"/>
      <c r="N588" s="1243"/>
      <c r="O588" s="1243"/>
      <c r="P588" s="1243"/>
      <c r="Q588" s="1243"/>
      <c r="R588" s="1243"/>
      <c r="S588" s="1243"/>
      <c r="T588" s="1243"/>
      <c r="U588" s="1243"/>
      <c r="V588" s="1243"/>
      <c r="W588" s="1243"/>
      <c r="X588" s="1243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3"/>
      <c r="D589" s="1243"/>
      <c r="E589" s="1243"/>
      <c r="F589" s="1243"/>
      <c r="G589" s="1243"/>
      <c r="H589" s="1243"/>
      <c r="I589" s="1243"/>
      <c r="J589" s="1243"/>
      <c r="K589" s="1243"/>
      <c r="L589" s="1243"/>
      <c r="M589" s="1243"/>
      <c r="N589" s="1243"/>
      <c r="O589" s="1243"/>
      <c r="P589" s="1243"/>
      <c r="Q589" s="1243"/>
      <c r="R589" s="1243"/>
      <c r="S589" s="1243"/>
      <c r="T589" s="1243"/>
      <c r="U589" s="1243"/>
      <c r="V589" s="1243"/>
      <c r="W589" s="1243"/>
      <c r="X589" s="1243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3"/>
      <c r="D590" s="1243"/>
      <c r="E590" s="1243"/>
      <c r="F590" s="1243"/>
      <c r="G590" s="1243"/>
      <c r="H590" s="1243"/>
      <c r="I590" s="1243"/>
      <c r="J590" s="1243"/>
      <c r="K590" s="1243"/>
      <c r="L590" s="1243"/>
      <c r="M590" s="1243"/>
      <c r="N590" s="1243"/>
      <c r="O590" s="1243"/>
      <c r="P590" s="1243"/>
      <c r="Q590" s="1243"/>
      <c r="R590" s="1243"/>
      <c r="S590" s="1243"/>
      <c r="T590" s="1243"/>
      <c r="U590" s="1243"/>
      <c r="V590" s="1243"/>
      <c r="W590" s="1243"/>
      <c r="X590" s="1243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3"/>
      <c r="D591" s="1243"/>
      <c r="E591" s="1243"/>
      <c r="F591" s="1243"/>
      <c r="G591" s="1243"/>
      <c r="H591" s="1243"/>
      <c r="I591" s="1243"/>
      <c r="J591" s="1243"/>
      <c r="K591" s="1243"/>
      <c r="L591" s="1243"/>
      <c r="M591" s="1243"/>
      <c r="N591" s="1243"/>
      <c r="O591" s="1243"/>
      <c r="P591" s="1243"/>
      <c r="Q591" s="1243"/>
      <c r="R591" s="1243"/>
      <c r="S591" s="1243"/>
      <c r="T591" s="1243"/>
      <c r="U591" s="1243"/>
      <c r="V591" s="1243"/>
      <c r="W591" s="1243"/>
      <c r="X591" s="1243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3"/>
      <c r="D592" s="1243"/>
      <c r="E592" s="1243"/>
      <c r="F592" s="1243"/>
      <c r="G592" s="1243"/>
      <c r="H592" s="1243"/>
      <c r="I592" s="1243"/>
      <c r="J592" s="1243"/>
      <c r="K592" s="1243"/>
      <c r="L592" s="1243"/>
      <c r="M592" s="1243"/>
      <c r="N592" s="1243"/>
      <c r="O592" s="1243"/>
      <c r="P592" s="1243"/>
      <c r="Q592" s="1243"/>
      <c r="R592" s="1243"/>
      <c r="S592" s="1243"/>
      <c r="T592" s="1243"/>
      <c r="U592" s="1243"/>
      <c r="V592" s="1243"/>
      <c r="W592" s="1243"/>
      <c r="X592" s="1243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3"/>
      <c r="D593" s="1243"/>
      <c r="E593" s="1243"/>
      <c r="F593" s="1243"/>
      <c r="G593" s="1243"/>
      <c r="H593" s="1243"/>
      <c r="I593" s="1243"/>
      <c r="J593" s="1243"/>
      <c r="K593" s="1243"/>
      <c r="L593" s="1243"/>
      <c r="M593" s="1243"/>
      <c r="N593" s="1243"/>
      <c r="O593" s="1243"/>
      <c r="P593" s="1243"/>
      <c r="Q593" s="1243"/>
      <c r="R593" s="1243"/>
      <c r="S593" s="1243"/>
      <c r="T593" s="1243"/>
      <c r="U593" s="1243"/>
      <c r="V593" s="1243"/>
      <c r="W593" s="1243"/>
      <c r="X593" s="1243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3"/>
      <c r="D594" s="1243"/>
      <c r="E594" s="1243"/>
      <c r="F594" s="1243"/>
      <c r="G594" s="1243"/>
      <c r="H594" s="1243"/>
      <c r="I594" s="1243"/>
      <c r="J594" s="1243"/>
      <c r="K594" s="1243"/>
      <c r="L594" s="1243"/>
      <c r="M594" s="1243"/>
      <c r="N594" s="1243"/>
      <c r="O594" s="1243"/>
      <c r="P594" s="1243"/>
      <c r="Q594" s="1243"/>
      <c r="R594" s="1243"/>
      <c r="S594" s="1243"/>
      <c r="T594" s="1243"/>
      <c r="U594" s="1243"/>
      <c r="V594" s="1243"/>
      <c r="W594" s="1243"/>
      <c r="X594" s="1243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3"/>
      <c r="D595" s="1243"/>
      <c r="E595" s="1243"/>
      <c r="F595" s="1243"/>
      <c r="G595" s="1243"/>
      <c r="H595" s="1243"/>
      <c r="I595" s="1243"/>
      <c r="J595" s="1243"/>
      <c r="K595" s="1243"/>
      <c r="L595" s="1243"/>
      <c r="M595" s="1243"/>
      <c r="N595" s="1243"/>
      <c r="O595" s="1243"/>
      <c r="P595" s="1243"/>
      <c r="Q595" s="1243"/>
      <c r="R595" s="1243"/>
      <c r="S595" s="1243"/>
      <c r="T595" s="1243"/>
      <c r="U595" s="1243"/>
      <c r="V595" s="1243"/>
      <c r="W595" s="1243"/>
      <c r="X595" s="1243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3"/>
      <c r="D596" s="1243"/>
      <c r="E596" s="1243"/>
      <c r="F596" s="1243"/>
      <c r="G596" s="1243"/>
      <c r="H596" s="1243"/>
      <c r="I596" s="1243"/>
      <c r="J596" s="1243"/>
      <c r="K596" s="1243"/>
      <c r="L596" s="1243"/>
      <c r="M596" s="1243"/>
      <c r="N596" s="1243"/>
      <c r="O596" s="1243"/>
      <c r="P596" s="1243"/>
      <c r="Q596" s="1243"/>
      <c r="R596" s="1243"/>
      <c r="S596" s="1243"/>
      <c r="T596" s="1243"/>
      <c r="U596" s="1243"/>
      <c r="V596" s="1243"/>
      <c r="W596" s="1243"/>
      <c r="X596" s="1243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3"/>
      <c r="D597" s="1243"/>
      <c r="E597" s="1243"/>
      <c r="F597" s="1243"/>
      <c r="G597" s="1243"/>
      <c r="H597" s="1243"/>
      <c r="I597" s="1243"/>
      <c r="J597" s="1243"/>
      <c r="K597" s="1243"/>
      <c r="L597" s="1243"/>
      <c r="M597" s="1243"/>
      <c r="N597" s="1243"/>
      <c r="O597" s="1243"/>
      <c r="P597" s="1243"/>
      <c r="Q597" s="1243"/>
      <c r="R597" s="1243"/>
      <c r="S597" s="1243"/>
      <c r="T597" s="1243"/>
      <c r="U597" s="1243"/>
      <c r="V597" s="1243"/>
      <c r="W597" s="1243"/>
      <c r="X597" s="1243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3"/>
      <c r="D598" s="1243"/>
      <c r="E598" s="1243"/>
      <c r="F598" s="1243"/>
      <c r="G598" s="1243"/>
      <c r="H598" s="1243"/>
      <c r="I598" s="1243"/>
      <c r="J598" s="1243"/>
      <c r="K598" s="1243"/>
      <c r="L598" s="1243"/>
      <c r="M598" s="1243"/>
      <c r="N598" s="1243"/>
      <c r="O598" s="1243"/>
      <c r="P598" s="1243"/>
      <c r="Q598" s="1243"/>
      <c r="R598" s="1243"/>
      <c r="S598" s="1243"/>
      <c r="T598" s="1243"/>
      <c r="U598" s="1243"/>
      <c r="V598" s="1243"/>
      <c r="W598" s="1243"/>
      <c r="X598" s="1243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3"/>
      <c r="D599" s="1243"/>
      <c r="E599" s="1243"/>
      <c r="F599" s="1243"/>
      <c r="G599" s="1243"/>
      <c r="H599" s="1243"/>
      <c r="I599" s="1243"/>
      <c r="J599" s="1243"/>
      <c r="K599" s="1243"/>
      <c r="L599" s="1243"/>
      <c r="M599" s="1243"/>
      <c r="N599" s="1243"/>
      <c r="O599" s="1243"/>
      <c r="P599" s="1243"/>
      <c r="Q599" s="1243"/>
      <c r="R599" s="1243"/>
      <c r="S599" s="1243"/>
      <c r="T599" s="1243"/>
      <c r="U599" s="1243"/>
      <c r="V599" s="1243"/>
      <c r="W599" s="1243"/>
      <c r="X599" s="1243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3"/>
      <c r="D600" s="1243"/>
      <c r="E600" s="1243"/>
      <c r="F600" s="1243"/>
      <c r="G600" s="1243"/>
      <c r="H600" s="1243"/>
      <c r="I600" s="1243"/>
      <c r="J600" s="1243"/>
      <c r="K600" s="1243"/>
      <c r="L600" s="1243"/>
      <c r="M600" s="1243"/>
      <c r="N600" s="1243"/>
      <c r="O600" s="1243"/>
      <c r="P600" s="1243"/>
      <c r="Q600" s="1243"/>
      <c r="R600" s="1243"/>
      <c r="S600" s="1243"/>
      <c r="T600" s="1243"/>
      <c r="U600" s="1243"/>
      <c r="V600" s="1243"/>
      <c r="W600" s="1243"/>
      <c r="X600" s="1243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3"/>
      <c r="D601" s="1243"/>
      <c r="E601" s="1243"/>
      <c r="F601" s="1243"/>
      <c r="G601" s="1243"/>
      <c r="H601" s="1243"/>
      <c r="I601" s="1243"/>
      <c r="J601" s="1243"/>
      <c r="K601" s="1243"/>
      <c r="L601" s="1243"/>
      <c r="M601" s="1243"/>
      <c r="N601" s="1243"/>
      <c r="O601" s="1243"/>
      <c r="P601" s="1243"/>
      <c r="Q601" s="1243"/>
      <c r="R601" s="1243"/>
      <c r="S601" s="1243"/>
      <c r="T601" s="1243"/>
      <c r="U601" s="1243"/>
      <c r="V601" s="1243"/>
      <c r="W601" s="1243"/>
      <c r="X601" s="1243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3"/>
      <c r="D602" s="1243"/>
      <c r="E602" s="1243"/>
      <c r="F602" s="1243"/>
      <c r="G602" s="1243"/>
      <c r="H602" s="1243"/>
      <c r="I602" s="1243"/>
      <c r="J602" s="1243"/>
      <c r="K602" s="1243"/>
      <c r="L602" s="1243"/>
      <c r="M602" s="1243"/>
      <c r="N602" s="1243"/>
      <c r="O602" s="1243"/>
      <c r="P602" s="1243"/>
      <c r="Q602" s="1243"/>
      <c r="R602" s="1243"/>
      <c r="S602" s="1243"/>
      <c r="T602" s="1243"/>
      <c r="U602" s="1243"/>
      <c r="V602" s="1243"/>
      <c r="W602" s="1243"/>
      <c r="X602" s="1243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3"/>
      <c r="D603" s="1243"/>
      <c r="E603" s="1243"/>
      <c r="F603" s="1243"/>
      <c r="G603" s="1243"/>
      <c r="H603" s="1243"/>
      <c r="I603" s="1243"/>
      <c r="J603" s="1243"/>
      <c r="K603" s="1243"/>
      <c r="L603" s="1243"/>
      <c r="M603" s="1243"/>
      <c r="N603" s="1243"/>
      <c r="O603" s="1243"/>
      <c r="P603" s="1243"/>
      <c r="Q603" s="1243"/>
      <c r="R603" s="1243"/>
      <c r="S603" s="1243"/>
      <c r="T603" s="1243"/>
      <c r="U603" s="1243"/>
      <c r="V603" s="1243"/>
      <c r="W603" s="1243"/>
      <c r="X603" s="1243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3"/>
      <c r="D604" s="1243"/>
      <c r="E604" s="1243"/>
      <c r="F604" s="1243"/>
      <c r="G604" s="1243"/>
      <c r="H604" s="1243"/>
      <c r="I604" s="1243"/>
      <c r="J604" s="1243"/>
      <c r="K604" s="1243"/>
      <c r="L604" s="1243"/>
      <c r="M604" s="1243"/>
      <c r="N604" s="1243"/>
      <c r="O604" s="1243"/>
      <c r="P604" s="1243"/>
      <c r="Q604" s="1243"/>
      <c r="R604" s="1243"/>
      <c r="S604" s="1243"/>
      <c r="T604" s="1243"/>
      <c r="U604" s="1243"/>
      <c r="V604" s="1243"/>
      <c r="W604" s="1243"/>
      <c r="X604" s="1243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3"/>
      <c r="D605" s="1243"/>
      <c r="E605" s="1243"/>
      <c r="F605" s="1243"/>
      <c r="G605" s="1243"/>
      <c r="H605" s="1243"/>
      <c r="I605" s="1243"/>
      <c r="J605" s="1243"/>
      <c r="K605" s="1243"/>
      <c r="L605" s="1243"/>
      <c r="M605" s="1243"/>
      <c r="N605" s="1243"/>
      <c r="O605" s="1243"/>
      <c r="P605" s="1243"/>
      <c r="Q605" s="1243"/>
      <c r="R605" s="1243"/>
      <c r="S605" s="1243"/>
      <c r="T605" s="1243"/>
      <c r="U605" s="1243"/>
      <c r="V605" s="1243"/>
      <c r="W605" s="1243"/>
      <c r="X605" s="1243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3"/>
      <c r="D606" s="1243"/>
      <c r="E606" s="1243"/>
      <c r="F606" s="1243"/>
      <c r="G606" s="1243"/>
      <c r="H606" s="1243"/>
      <c r="I606" s="1243"/>
      <c r="J606" s="1243"/>
      <c r="K606" s="1243"/>
      <c r="L606" s="1243"/>
      <c r="M606" s="1243"/>
      <c r="N606" s="1243"/>
      <c r="O606" s="1243"/>
      <c r="P606" s="1243"/>
      <c r="Q606" s="1243"/>
      <c r="R606" s="1243"/>
      <c r="S606" s="1243"/>
      <c r="T606" s="1243"/>
      <c r="U606" s="1243"/>
      <c r="V606" s="1243"/>
      <c r="W606" s="1243"/>
      <c r="X606" s="1243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3"/>
      <c r="D607" s="1243"/>
      <c r="E607" s="1243"/>
      <c r="F607" s="1243"/>
      <c r="G607" s="1243"/>
      <c r="H607" s="1243"/>
      <c r="I607" s="1243"/>
      <c r="J607" s="1243"/>
      <c r="K607" s="1243"/>
      <c r="L607" s="1243"/>
      <c r="M607" s="1243"/>
      <c r="N607" s="1243"/>
      <c r="O607" s="1243"/>
      <c r="P607" s="1243"/>
      <c r="Q607" s="1243"/>
      <c r="R607" s="1243"/>
      <c r="S607" s="1243"/>
      <c r="T607" s="1243"/>
      <c r="U607" s="1243"/>
      <c r="V607" s="1243"/>
      <c r="W607" s="1243"/>
      <c r="X607" s="1243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3"/>
      <c r="D608" s="1243"/>
      <c r="E608" s="1243"/>
      <c r="F608" s="1243"/>
      <c r="G608" s="1243"/>
      <c r="H608" s="1243"/>
      <c r="I608" s="1243"/>
      <c r="J608" s="1243"/>
      <c r="K608" s="1243"/>
      <c r="L608" s="1243"/>
      <c r="M608" s="1243"/>
      <c r="N608" s="1243"/>
      <c r="O608" s="1243"/>
      <c r="P608" s="1243"/>
      <c r="Q608" s="1243"/>
      <c r="R608" s="1243"/>
      <c r="S608" s="1243"/>
      <c r="T608" s="1243"/>
      <c r="U608" s="1243"/>
      <c r="V608" s="1243"/>
      <c r="W608" s="1243"/>
      <c r="X608" s="1243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3"/>
      <c r="D609" s="1243"/>
      <c r="E609" s="1243"/>
      <c r="F609" s="1243"/>
      <c r="G609" s="1243"/>
      <c r="H609" s="1243"/>
      <c r="I609" s="1243"/>
      <c r="J609" s="1243"/>
      <c r="K609" s="1243"/>
      <c r="L609" s="1243"/>
      <c r="M609" s="1243"/>
      <c r="N609" s="1243"/>
      <c r="O609" s="1243"/>
      <c r="P609" s="1243"/>
      <c r="Q609" s="1243"/>
      <c r="R609" s="1243"/>
      <c r="S609" s="1243"/>
      <c r="T609" s="1243"/>
      <c r="U609" s="1243"/>
      <c r="V609" s="1243"/>
      <c r="W609" s="1243"/>
      <c r="X609" s="1243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3"/>
      <c r="D610" s="1243"/>
      <c r="E610" s="1243"/>
      <c r="F610" s="1243"/>
      <c r="G610" s="1243"/>
      <c r="H610" s="1243"/>
      <c r="I610" s="1243"/>
      <c r="J610" s="1243"/>
      <c r="K610" s="1243"/>
      <c r="L610" s="1243"/>
      <c r="M610" s="1243"/>
      <c r="N610" s="1243"/>
      <c r="O610" s="1243"/>
      <c r="P610" s="1243"/>
      <c r="Q610" s="1243"/>
      <c r="R610" s="1243"/>
      <c r="S610" s="1243"/>
      <c r="T610" s="1243"/>
      <c r="U610" s="1243"/>
      <c r="V610" s="1243"/>
      <c r="W610" s="1243"/>
      <c r="X610" s="1243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3"/>
      <c r="D611" s="1243"/>
      <c r="E611" s="1243"/>
      <c r="F611" s="1243"/>
      <c r="G611" s="1243"/>
      <c r="H611" s="1243"/>
      <c r="I611" s="1243"/>
      <c r="J611" s="1243"/>
      <c r="K611" s="1243"/>
      <c r="L611" s="1243"/>
      <c r="M611" s="1243"/>
      <c r="N611" s="1243"/>
      <c r="O611" s="1243"/>
      <c r="P611" s="1243"/>
      <c r="Q611" s="1243"/>
      <c r="R611" s="1243"/>
      <c r="S611" s="1243"/>
      <c r="T611" s="1243"/>
      <c r="U611" s="1243"/>
      <c r="V611" s="1243"/>
      <c r="W611" s="1243"/>
      <c r="X611" s="1243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3"/>
      <c r="D612" s="1243"/>
      <c r="E612" s="1243"/>
      <c r="F612" s="1243"/>
      <c r="G612" s="1243"/>
      <c r="H612" s="1243"/>
      <c r="I612" s="1243"/>
      <c r="J612" s="1243"/>
      <c r="K612" s="1243"/>
      <c r="L612" s="1243"/>
      <c r="M612" s="1243"/>
      <c r="N612" s="1243"/>
      <c r="O612" s="1243"/>
      <c r="P612" s="1243"/>
      <c r="Q612" s="1243"/>
      <c r="R612" s="1243"/>
      <c r="S612" s="1243"/>
      <c r="T612" s="1243"/>
      <c r="U612" s="1243"/>
      <c r="V612" s="1243"/>
      <c r="W612" s="1243"/>
      <c r="X612" s="1243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3"/>
      <c r="D613" s="1243"/>
      <c r="E613" s="1243"/>
      <c r="F613" s="1243"/>
      <c r="G613" s="1243"/>
      <c r="H613" s="1243"/>
      <c r="I613" s="1243"/>
      <c r="J613" s="1243"/>
      <c r="K613" s="1243"/>
      <c r="L613" s="1243"/>
      <c r="M613" s="1243"/>
      <c r="N613" s="1243"/>
      <c r="O613" s="1243"/>
      <c r="P613" s="1243"/>
      <c r="Q613" s="1243"/>
      <c r="R613" s="1243"/>
      <c r="S613" s="1243"/>
      <c r="T613" s="1243"/>
      <c r="U613" s="1243"/>
      <c r="V613" s="1243"/>
      <c r="W613" s="1243"/>
      <c r="X613" s="1243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3"/>
      <c r="D614" s="1243"/>
      <c r="E614" s="1243"/>
      <c r="F614" s="1243"/>
      <c r="G614" s="1243"/>
      <c r="H614" s="1243"/>
      <c r="I614" s="1243"/>
      <c r="J614" s="1243"/>
      <c r="K614" s="1243"/>
      <c r="L614" s="1243"/>
      <c r="M614" s="1243"/>
      <c r="N614" s="1243"/>
      <c r="O614" s="1243"/>
      <c r="P614" s="1243"/>
      <c r="Q614" s="1243"/>
      <c r="R614" s="1243"/>
      <c r="S614" s="1243"/>
      <c r="T614" s="1243"/>
      <c r="U614" s="1243"/>
      <c r="V614" s="1243"/>
      <c r="W614" s="1243"/>
      <c r="X614" s="1243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3"/>
      <c r="D615" s="1243"/>
      <c r="E615" s="1243"/>
      <c r="F615" s="1243"/>
      <c r="G615" s="1243"/>
      <c r="H615" s="1243"/>
      <c r="I615" s="1243"/>
      <c r="J615" s="1243"/>
      <c r="K615" s="1243"/>
      <c r="L615" s="1243"/>
      <c r="M615" s="1243"/>
      <c r="N615" s="1243"/>
      <c r="O615" s="1243"/>
      <c r="P615" s="1243"/>
      <c r="Q615" s="1243"/>
      <c r="R615" s="1243"/>
      <c r="S615" s="1243"/>
      <c r="T615" s="1243"/>
      <c r="U615" s="1243"/>
      <c r="V615" s="1243"/>
      <c r="W615" s="1243"/>
      <c r="X615" s="1243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3"/>
      <c r="D616" s="1243"/>
      <c r="E616" s="1243"/>
      <c r="F616" s="1243"/>
      <c r="G616" s="1243"/>
      <c r="H616" s="1243"/>
      <c r="I616" s="1243"/>
      <c r="J616" s="1243"/>
      <c r="K616" s="1243"/>
      <c r="L616" s="1243"/>
      <c r="M616" s="1243"/>
      <c r="N616" s="1243"/>
      <c r="O616" s="1243"/>
      <c r="P616" s="1243"/>
      <c r="Q616" s="1243"/>
      <c r="R616" s="1243"/>
      <c r="S616" s="1243"/>
      <c r="T616" s="1243"/>
      <c r="U616" s="1243"/>
      <c r="V616" s="1243"/>
      <c r="W616" s="1243"/>
      <c r="X616" s="1243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3"/>
      <c r="D617" s="1243"/>
      <c r="E617" s="1243"/>
      <c r="F617" s="1243"/>
      <c r="G617" s="1243"/>
      <c r="H617" s="1243"/>
      <c r="I617" s="1243"/>
      <c r="J617" s="1243"/>
      <c r="K617" s="1243"/>
      <c r="L617" s="1243"/>
      <c r="M617" s="1243"/>
      <c r="N617" s="1243"/>
      <c r="O617" s="1243"/>
      <c r="P617" s="1243"/>
      <c r="Q617" s="1243"/>
      <c r="R617" s="1243"/>
      <c r="S617" s="1243"/>
      <c r="T617" s="1243"/>
      <c r="U617" s="1243"/>
      <c r="V617" s="1243"/>
      <c r="W617" s="1243"/>
      <c r="X617" s="1243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3"/>
      <c r="D618" s="1243"/>
      <c r="E618" s="1243"/>
      <c r="F618" s="1243"/>
      <c r="G618" s="1243"/>
      <c r="H618" s="1243"/>
      <c r="I618" s="1243"/>
      <c r="J618" s="1243"/>
      <c r="K618" s="1243"/>
      <c r="L618" s="1243"/>
      <c r="M618" s="1243"/>
      <c r="N618" s="1243"/>
      <c r="O618" s="1243"/>
      <c r="P618" s="1243"/>
      <c r="Q618" s="1243"/>
      <c r="R618" s="1243"/>
      <c r="S618" s="1243"/>
      <c r="T618" s="1243"/>
      <c r="U618" s="1243"/>
      <c r="V618" s="1243"/>
      <c r="W618" s="1243"/>
      <c r="X618" s="1243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3"/>
      <c r="D619" s="1243"/>
      <c r="E619" s="1243"/>
      <c r="F619" s="1243"/>
      <c r="G619" s="1243"/>
      <c r="H619" s="1243"/>
      <c r="I619" s="1243"/>
      <c r="J619" s="1243"/>
      <c r="K619" s="1243"/>
      <c r="L619" s="1243"/>
      <c r="M619" s="1243"/>
      <c r="N619" s="1243"/>
      <c r="O619" s="1243"/>
      <c r="P619" s="1243"/>
      <c r="Q619" s="1243"/>
      <c r="R619" s="1243"/>
      <c r="S619" s="1243"/>
      <c r="T619" s="1243"/>
      <c r="U619" s="1243"/>
      <c r="V619" s="1243"/>
      <c r="W619" s="1243"/>
      <c r="X619" s="1243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3"/>
      <c r="D620" s="1243"/>
      <c r="E620" s="1243"/>
      <c r="F620" s="1243"/>
      <c r="G620" s="1243"/>
      <c r="H620" s="1243"/>
      <c r="I620" s="1243"/>
      <c r="J620" s="1243"/>
      <c r="K620" s="1243"/>
      <c r="L620" s="1243"/>
      <c r="M620" s="1243"/>
      <c r="N620" s="1243"/>
      <c r="O620" s="1243"/>
      <c r="P620" s="1243"/>
      <c r="Q620" s="1243"/>
      <c r="R620" s="1243"/>
      <c r="S620" s="1243"/>
      <c r="T620" s="1243"/>
      <c r="U620" s="1243"/>
      <c r="V620" s="1243"/>
      <c r="W620" s="1243"/>
      <c r="X620" s="1243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3"/>
      <c r="D621" s="1243"/>
      <c r="E621" s="1243"/>
      <c r="F621" s="1243"/>
      <c r="G621" s="1243"/>
      <c r="H621" s="1243"/>
      <c r="I621" s="1243"/>
      <c r="J621" s="1243"/>
      <c r="K621" s="1243"/>
      <c r="L621" s="1243"/>
      <c r="M621" s="1243"/>
      <c r="N621" s="1243"/>
      <c r="O621" s="1243"/>
      <c r="P621" s="1243"/>
      <c r="Q621" s="1243"/>
      <c r="R621" s="1243"/>
      <c r="S621" s="1243"/>
      <c r="T621" s="1243"/>
      <c r="U621" s="1243"/>
      <c r="V621" s="1243"/>
      <c r="W621" s="1243"/>
      <c r="X621" s="1243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3"/>
      <c r="D622" s="1243"/>
      <c r="E622" s="1243"/>
      <c r="F622" s="1243"/>
      <c r="G622" s="1243"/>
      <c r="H622" s="1243"/>
      <c r="I622" s="1243"/>
      <c r="J622" s="1243"/>
      <c r="K622" s="1243"/>
      <c r="L622" s="1243"/>
      <c r="M622" s="1243"/>
      <c r="N622" s="1243"/>
      <c r="O622" s="1243"/>
      <c r="P622" s="1243"/>
      <c r="Q622" s="1243"/>
      <c r="R622" s="1243"/>
      <c r="S622" s="1243"/>
      <c r="T622" s="1243"/>
      <c r="U622" s="1243"/>
      <c r="V622" s="1243"/>
      <c r="W622" s="1243"/>
      <c r="X622" s="1243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3"/>
      <c r="D623" s="1243"/>
      <c r="E623" s="1243"/>
      <c r="F623" s="1243"/>
      <c r="G623" s="1243"/>
      <c r="H623" s="1243"/>
      <c r="I623" s="1243"/>
      <c r="J623" s="1243"/>
      <c r="K623" s="1243"/>
      <c r="L623" s="1243"/>
      <c r="M623" s="1243"/>
      <c r="N623" s="1243"/>
      <c r="O623" s="1243"/>
      <c r="P623" s="1243"/>
      <c r="Q623" s="1243"/>
      <c r="R623" s="1243"/>
      <c r="S623" s="1243"/>
      <c r="T623" s="1243"/>
      <c r="U623" s="1243"/>
      <c r="V623" s="1243"/>
      <c r="W623" s="1243"/>
      <c r="X623" s="1243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3"/>
      <c r="D624" s="1243"/>
      <c r="E624" s="1243"/>
      <c r="F624" s="1243"/>
      <c r="G624" s="1243"/>
      <c r="H624" s="1243"/>
      <c r="I624" s="1243"/>
      <c r="J624" s="1243"/>
      <c r="K624" s="1243"/>
      <c r="L624" s="1243"/>
      <c r="M624" s="1243"/>
      <c r="N624" s="1243"/>
      <c r="O624" s="1243"/>
      <c r="P624" s="1243"/>
      <c r="Q624" s="1243"/>
      <c r="R624" s="1243"/>
      <c r="S624" s="1243"/>
      <c r="T624" s="1243"/>
      <c r="U624" s="1243"/>
      <c r="V624" s="1243"/>
      <c r="W624" s="1243"/>
      <c r="X624" s="1243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3"/>
      <c r="D625" s="1243"/>
      <c r="E625" s="1243"/>
      <c r="F625" s="1243"/>
      <c r="G625" s="1243"/>
      <c r="H625" s="1243"/>
      <c r="I625" s="1243"/>
      <c r="J625" s="1243"/>
      <c r="K625" s="1243"/>
      <c r="L625" s="1243"/>
      <c r="M625" s="1243"/>
      <c r="N625" s="1243"/>
      <c r="O625" s="1243"/>
      <c r="P625" s="1243"/>
      <c r="Q625" s="1243"/>
      <c r="R625" s="1243"/>
      <c r="S625" s="1243"/>
      <c r="T625" s="1243"/>
      <c r="U625" s="1243"/>
      <c r="V625" s="1243"/>
      <c r="W625" s="1243"/>
      <c r="X625" s="1243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3"/>
      <c r="D626" s="1243"/>
      <c r="E626" s="1243"/>
      <c r="F626" s="1243"/>
      <c r="G626" s="1243"/>
      <c r="H626" s="1243"/>
      <c r="I626" s="1243"/>
      <c r="J626" s="1243"/>
      <c r="K626" s="1243"/>
      <c r="L626" s="1243"/>
      <c r="M626" s="1243"/>
      <c r="N626" s="1243"/>
      <c r="O626" s="1243"/>
      <c r="P626" s="1243"/>
      <c r="Q626" s="1243"/>
      <c r="R626" s="1243"/>
      <c r="S626" s="1243"/>
      <c r="T626" s="1243"/>
      <c r="U626" s="1243"/>
      <c r="V626" s="1243"/>
      <c r="W626" s="1243"/>
      <c r="X626" s="1243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3"/>
      <c r="D627" s="1243"/>
      <c r="E627" s="1243"/>
      <c r="F627" s="1243"/>
      <c r="G627" s="1243"/>
      <c r="H627" s="1243"/>
      <c r="I627" s="1243"/>
      <c r="J627" s="1243"/>
      <c r="K627" s="1243"/>
      <c r="L627" s="1243"/>
      <c r="M627" s="1243"/>
      <c r="N627" s="1243"/>
      <c r="O627" s="1243"/>
      <c r="P627" s="1243"/>
      <c r="Q627" s="1243"/>
      <c r="R627" s="1243"/>
      <c r="S627" s="1243"/>
      <c r="T627" s="1243"/>
      <c r="U627" s="1243"/>
      <c r="V627" s="1243"/>
      <c r="W627" s="1243"/>
      <c r="X627" s="1243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3"/>
      <c r="D628" s="1243"/>
      <c r="E628" s="1243"/>
      <c r="F628" s="1243"/>
      <c r="G628" s="1243"/>
      <c r="H628" s="1243"/>
      <c r="I628" s="1243"/>
      <c r="J628" s="1243"/>
      <c r="K628" s="1243"/>
      <c r="L628" s="1243"/>
      <c r="M628" s="1243"/>
      <c r="N628" s="1243"/>
      <c r="O628" s="1243"/>
      <c r="P628" s="1243"/>
      <c r="Q628" s="1243"/>
      <c r="R628" s="1243"/>
      <c r="S628" s="1243"/>
      <c r="T628" s="1243"/>
      <c r="U628" s="1243"/>
      <c r="V628" s="1243"/>
      <c r="W628" s="1243"/>
      <c r="X628" s="1243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3"/>
      <c r="D629" s="1243"/>
      <c r="E629" s="1243"/>
      <c r="F629" s="1243"/>
      <c r="G629" s="1243"/>
      <c r="H629" s="1243"/>
      <c r="I629" s="1243"/>
      <c r="J629" s="1243"/>
      <c r="K629" s="1243"/>
      <c r="L629" s="1243"/>
      <c r="M629" s="1243"/>
      <c r="N629" s="1243"/>
      <c r="O629" s="1243"/>
      <c r="P629" s="1243"/>
      <c r="Q629" s="1243"/>
      <c r="R629" s="1243"/>
      <c r="S629" s="1243"/>
      <c r="T629" s="1243"/>
      <c r="U629" s="1243"/>
      <c r="V629" s="1243"/>
      <c r="W629" s="1243"/>
      <c r="X629" s="1243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3"/>
      <c r="D630" s="1243"/>
      <c r="E630" s="1243"/>
      <c r="F630" s="1243"/>
      <c r="G630" s="1243"/>
      <c r="H630" s="1243"/>
      <c r="I630" s="1243"/>
      <c r="J630" s="1243"/>
      <c r="K630" s="1243"/>
      <c r="L630" s="1243"/>
      <c r="M630" s="1243"/>
      <c r="N630" s="1243"/>
      <c r="O630" s="1243"/>
      <c r="P630" s="1243"/>
      <c r="Q630" s="1243"/>
      <c r="R630" s="1243"/>
      <c r="S630" s="1243"/>
      <c r="T630" s="1243"/>
      <c r="U630" s="1243"/>
      <c r="V630" s="1243"/>
      <c r="W630" s="1243"/>
      <c r="X630" s="1243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3"/>
      <c r="D631" s="1243"/>
      <c r="E631" s="1243"/>
      <c r="F631" s="1243"/>
      <c r="G631" s="1243"/>
      <c r="H631" s="1243"/>
      <c r="I631" s="1243"/>
      <c r="J631" s="1243"/>
      <c r="K631" s="1243"/>
      <c r="L631" s="1243"/>
      <c r="M631" s="1243"/>
      <c r="N631" s="1243"/>
      <c r="O631" s="1243"/>
      <c r="P631" s="1243"/>
      <c r="Q631" s="1243"/>
      <c r="R631" s="1243"/>
      <c r="S631" s="1243"/>
      <c r="T631" s="1243"/>
      <c r="U631" s="1243"/>
      <c r="V631" s="1243"/>
      <c r="W631" s="1243"/>
      <c r="X631" s="1243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3"/>
      <c r="D632" s="1243"/>
      <c r="E632" s="1243"/>
      <c r="F632" s="1243"/>
      <c r="G632" s="1243"/>
      <c r="H632" s="1243"/>
      <c r="I632" s="1243"/>
      <c r="J632" s="1243"/>
      <c r="K632" s="1243"/>
      <c r="L632" s="1243"/>
      <c r="M632" s="1243"/>
      <c r="N632" s="1243"/>
      <c r="O632" s="1243"/>
      <c r="P632" s="1243"/>
      <c r="Q632" s="1243"/>
      <c r="R632" s="1243"/>
      <c r="S632" s="1243"/>
      <c r="T632" s="1243"/>
      <c r="U632" s="1243"/>
      <c r="V632" s="1243"/>
      <c r="W632" s="1243"/>
      <c r="X632" s="1243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3"/>
      <c r="D633" s="1243"/>
      <c r="E633" s="1243"/>
      <c r="F633" s="1243"/>
      <c r="G633" s="1243"/>
      <c r="H633" s="1243"/>
      <c r="I633" s="1243"/>
      <c r="J633" s="1243"/>
      <c r="K633" s="1243"/>
      <c r="L633" s="1243"/>
      <c r="M633" s="1243"/>
      <c r="N633" s="1243"/>
      <c r="O633" s="1243"/>
      <c r="P633" s="1243"/>
      <c r="Q633" s="1243"/>
      <c r="R633" s="1243"/>
      <c r="S633" s="1243"/>
      <c r="T633" s="1243"/>
      <c r="U633" s="1243"/>
      <c r="V633" s="1243"/>
      <c r="W633" s="1243"/>
      <c r="X633" s="1243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3"/>
      <c r="D634" s="1243"/>
      <c r="E634" s="1243"/>
      <c r="F634" s="1243"/>
      <c r="G634" s="1243"/>
      <c r="H634" s="1243"/>
      <c r="I634" s="1243"/>
      <c r="J634" s="1243"/>
      <c r="K634" s="1243"/>
      <c r="L634" s="1243"/>
      <c r="M634" s="1243"/>
      <c r="N634" s="1243"/>
      <c r="O634" s="1243"/>
      <c r="P634" s="1243"/>
      <c r="Q634" s="1243"/>
      <c r="R634" s="1243"/>
      <c r="S634" s="1243"/>
      <c r="T634" s="1243"/>
      <c r="U634" s="1243"/>
      <c r="V634" s="1243"/>
      <c r="W634" s="1243"/>
      <c r="X634" s="1243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3"/>
      <c r="D635" s="1243"/>
      <c r="E635" s="1243"/>
      <c r="F635" s="1243"/>
      <c r="G635" s="1243"/>
      <c r="H635" s="1243"/>
      <c r="I635" s="1243"/>
      <c r="J635" s="1243"/>
      <c r="K635" s="1243"/>
      <c r="L635" s="1243"/>
      <c r="M635" s="1243"/>
      <c r="N635" s="1243"/>
      <c r="O635" s="1243"/>
      <c r="P635" s="1243"/>
      <c r="Q635" s="1243"/>
      <c r="R635" s="1243"/>
      <c r="S635" s="1243"/>
      <c r="T635" s="1243"/>
      <c r="U635" s="1243"/>
      <c r="V635" s="1243"/>
      <c r="W635" s="1243"/>
      <c r="X635" s="1243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3"/>
      <c r="D636" s="1243"/>
      <c r="E636" s="1243"/>
      <c r="F636" s="1243"/>
      <c r="G636" s="1243"/>
      <c r="H636" s="1243"/>
      <c r="I636" s="1243"/>
      <c r="J636" s="1243"/>
      <c r="K636" s="1243"/>
      <c r="L636" s="1243"/>
      <c r="M636" s="1243"/>
      <c r="N636" s="1243"/>
      <c r="O636" s="1243"/>
      <c r="P636" s="1243"/>
      <c r="Q636" s="1243"/>
      <c r="R636" s="1243"/>
      <c r="S636" s="1243"/>
      <c r="T636" s="1243"/>
      <c r="U636" s="1243"/>
      <c r="V636" s="1243"/>
      <c r="W636" s="1243"/>
      <c r="X636" s="1243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3"/>
      <c r="D637" s="1243"/>
      <c r="E637" s="1243"/>
      <c r="F637" s="1243"/>
      <c r="G637" s="1243"/>
      <c r="H637" s="1243"/>
      <c r="I637" s="1243"/>
      <c r="J637" s="1243"/>
      <c r="K637" s="1243"/>
      <c r="L637" s="1243"/>
      <c r="M637" s="1243"/>
      <c r="N637" s="1243"/>
      <c r="O637" s="1243"/>
      <c r="P637" s="1243"/>
      <c r="Q637" s="1243"/>
      <c r="R637" s="1243"/>
      <c r="S637" s="1243"/>
      <c r="T637" s="1243"/>
      <c r="U637" s="1243"/>
      <c r="V637" s="1243"/>
      <c r="W637" s="1243"/>
      <c r="X637" s="1243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3"/>
      <c r="D638" s="1243"/>
      <c r="E638" s="1243"/>
      <c r="F638" s="1243"/>
      <c r="G638" s="1243"/>
      <c r="H638" s="1243"/>
      <c r="I638" s="1243"/>
      <c r="J638" s="1243"/>
      <c r="K638" s="1243"/>
      <c r="L638" s="1243"/>
      <c r="M638" s="1243"/>
      <c r="N638" s="1243"/>
      <c r="O638" s="1243"/>
      <c r="P638" s="1243"/>
      <c r="Q638" s="1243"/>
      <c r="R638" s="1243"/>
      <c r="S638" s="1243"/>
      <c r="T638" s="1243"/>
      <c r="U638" s="1243"/>
      <c r="V638" s="1243"/>
      <c r="W638" s="1243"/>
      <c r="X638" s="1243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3"/>
      <c r="D639" s="1243"/>
      <c r="E639" s="1243"/>
      <c r="F639" s="1243"/>
      <c r="G639" s="1243"/>
      <c r="H639" s="1243"/>
      <c r="I639" s="1243"/>
      <c r="J639" s="1243"/>
      <c r="K639" s="1243"/>
      <c r="L639" s="1243"/>
      <c r="M639" s="1243"/>
      <c r="N639" s="1243"/>
      <c r="O639" s="1243"/>
      <c r="P639" s="1243"/>
      <c r="Q639" s="1243"/>
      <c r="R639" s="1243"/>
      <c r="S639" s="1243"/>
      <c r="T639" s="1243"/>
      <c r="U639" s="1243"/>
      <c r="V639" s="1243"/>
      <c r="W639" s="1243"/>
      <c r="X639" s="1243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3"/>
      <c r="D640" s="1243"/>
      <c r="E640" s="1243"/>
      <c r="F640" s="1243"/>
      <c r="G640" s="1243"/>
      <c r="H640" s="1243"/>
      <c r="I640" s="1243"/>
      <c r="J640" s="1243"/>
      <c r="K640" s="1243"/>
      <c r="L640" s="1243"/>
      <c r="M640" s="1243"/>
      <c r="N640" s="1243"/>
      <c r="O640" s="1243"/>
      <c r="P640" s="1243"/>
      <c r="Q640" s="1243"/>
      <c r="R640" s="1243"/>
      <c r="S640" s="1243"/>
      <c r="T640" s="1243"/>
      <c r="U640" s="1243"/>
      <c r="V640" s="1243"/>
      <c r="W640" s="1243"/>
      <c r="X640" s="1243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3"/>
      <c r="D641" s="1243"/>
      <c r="E641" s="1243"/>
      <c r="F641" s="1243"/>
      <c r="G641" s="1243"/>
      <c r="H641" s="1243"/>
      <c r="I641" s="1243"/>
      <c r="J641" s="1243"/>
      <c r="K641" s="1243"/>
      <c r="L641" s="1243"/>
      <c r="M641" s="1243"/>
      <c r="N641" s="1243"/>
      <c r="O641" s="1243"/>
      <c r="P641" s="1243"/>
      <c r="Q641" s="1243"/>
      <c r="R641" s="1243"/>
      <c r="S641" s="1243"/>
      <c r="T641" s="1243"/>
      <c r="U641" s="1243"/>
      <c r="V641" s="1243"/>
      <c r="W641" s="1243"/>
      <c r="X641" s="1243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3"/>
      <c r="D642" s="1243"/>
      <c r="E642" s="1243"/>
      <c r="F642" s="1243"/>
      <c r="G642" s="1243"/>
      <c r="H642" s="1243"/>
      <c r="I642" s="1243"/>
      <c r="J642" s="1243"/>
      <c r="K642" s="1243"/>
      <c r="L642" s="1243"/>
      <c r="M642" s="1243"/>
      <c r="N642" s="1243"/>
      <c r="O642" s="1243"/>
      <c r="P642" s="1243"/>
      <c r="Q642" s="1243"/>
      <c r="R642" s="1243"/>
      <c r="S642" s="1243"/>
      <c r="T642" s="1243"/>
      <c r="U642" s="1243"/>
      <c r="V642" s="1243"/>
      <c r="W642" s="1243"/>
      <c r="X642" s="1243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3"/>
      <c r="D643" s="1243"/>
      <c r="E643" s="1243"/>
      <c r="F643" s="1243"/>
      <c r="G643" s="1243"/>
      <c r="H643" s="1243"/>
      <c r="I643" s="1243"/>
      <c r="J643" s="1243"/>
      <c r="K643" s="1243"/>
      <c r="L643" s="1243"/>
      <c r="M643" s="1243"/>
      <c r="N643" s="1243"/>
      <c r="O643" s="1243"/>
      <c r="P643" s="1243"/>
      <c r="Q643" s="1243"/>
      <c r="R643" s="1243"/>
      <c r="S643" s="1243"/>
      <c r="T643" s="1243"/>
      <c r="U643" s="1243"/>
      <c r="V643" s="1243"/>
      <c r="W643" s="1243"/>
      <c r="X643" s="1243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3"/>
      <c r="D644" s="1243"/>
      <c r="E644" s="1243"/>
      <c r="F644" s="1243"/>
      <c r="G644" s="1243"/>
      <c r="H644" s="1243"/>
      <c r="I644" s="1243"/>
      <c r="J644" s="1243"/>
      <c r="K644" s="1243"/>
      <c r="L644" s="1243"/>
      <c r="M644" s="1243"/>
      <c r="N644" s="1243"/>
      <c r="O644" s="1243"/>
      <c r="P644" s="1243"/>
      <c r="Q644" s="1243"/>
      <c r="R644" s="1243"/>
      <c r="S644" s="1243"/>
      <c r="T644" s="1243"/>
      <c r="U644" s="1243"/>
      <c r="V644" s="1243"/>
      <c r="W644" s="1243"/>
      <c r="X644" s="1243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3"/>
      <c r="D645" s="1243"/>
      <c r="E645" s="1243"/>
      <c r="F645" s="1243"/>
      <c r="G645" s="1243"/>
      <c r="H645" s="1243"/>
      <c r="I645" s="1243"/>
      <c r="J645" s="1243"/>
      <c r="K645" s="1243"/>
      <c r="L645" s="1243"/>
      <c r="M645" s="1243"/>
      <c r="N645" s="1243"/>
      <c r="O645" s="1243"/>
      <c r="P645" s="1243"/>
      <c r="Q645" s="1243"/>
      <c r="R645" s="1243"/>
      <c r="S645" s="1243"/>
      <c r="T645" s="1243"/>
      <c r="U645" s="1243"/>
      <c r="V645" s="1243"/>
      <c r="W645" s="1243"/>
      <c r="X645" s="1243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3"/>
      <c r="D646" s="1243"/>
      <c r="E646" s="1243"/>
      <c r="F646" s="1243"/>
      <c r="G646" s="1243"/>
      <c r="H646" s="1243"/>
      <c r="I646" s="1243"/>
      <c r="J646" s="1243"/>
      <c r="K646" s="1243"/>
      <c r="L646" s="1243"/>
      <c r="M646" s="1243"/>
      <c r="N646" s="1243"/>
      <c r="O646" s="1243"/>
      <c r="P646" s="1243"/>
      <c r="Q646" s="1243"/>
      <c r="R646" s="1243"/>
      <c r="S646" s="1243"/>
      <c r="T646" s="1243"/>
      <c r="U646" s="1243"/>
      <c r="V646" s="1243"/>
      <c r="W646" s="1243"/>
      <c r="X646" s="1243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3"/>
      <c r="D647" s="1243"/>
      <c r="E647" s="1243"/>
      <c r="F647" s="1243"/>
      <c r="G647" s="1243"/>
      <c r="H647" s="1243"/>
      <c r="I647" s="1243"/>
      <c r="J647" s="1243"/>
      <c r="K647" s="1243"/>
      <c r="L647" s="1243"/>
      <c r="M647" s="1243"/>
      <c r="N647" s="1243"/>
      <c r="O647" s="1243"/>
      <c r="P647" s="1243"/>
      <c r="Q647" s="1243"/>
      <c r="R647" s="1243"/>
      <c r="S647" s="1243"/>
      <c r="T647" s="1243"/>
      <c r="U647" s="1243"/>
      <c r="V647" s="1243"/>
      <c r="W647" s="1243"/>
      <c r="X647" s="1243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3"/>
      <c r="D648" s="1243"/>
      <c r="E648" s="1243"/>
      <c r="F648" s="1243"/>
      <c r="G648" s="1243"/>
      <c r="H648" s="1243"/>
      <c r="I648" s="1243"/>
      <c r="J648" s="1243"/>
      <c r="K648" s="1243"/>
      <c r="L648" s="1243"/>
      <c r="M648" s="1243"/>
      <c r="N648" s="1243"/>
      <c r="O648" s="1243"/>
      <c r="P648" s="1243"/>
      <c r="Q648" s="1243"/>
      <c r="R648" s="1243"/>
      <c r="S648" s="1243"/>
      <c r="T648" s="1243"/>
      <c r="U648" s="1243"/>
      <c r="V648" s="1243"/>
      <c r="W648" s="1243"/>
      <c r="X648" s="1243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3"/>
      <c r="D649" s="1243"/>
      <c r="E649" s="1243"/>
      <c r="F649" s="1243"/>
      <c r="G649" s="1243"/>
      <c r="H649" s="1243"/>
      <c r="I649" s="1243"/>
      <c r="J649" s="1243"/>
      <c r="K649" s="1243"/>
      <c r="L649" s="1243"/>
      <c r="M649" s="1243"/>
      <c r="N649" s="1243"/>
      <c r="O649" s="1243"/>
      <c r="P649" s="1243"/>
      <c r="Q649" s="1243"/>
      <c r="R649" s="1243"/>
      <c r="S649" s="1243"/>
      <c r="T649" s="1243"/>
      <c r="U649" s="1243"/>
      <c r="V649" s="1243"/>
      <c r="W649" s="1243"/>
      <c r="X649" s="1243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2"/>
      <c r="D650" s="1243"/>
      <c r="E650" s="1243"/>
      <c r="F650" s="1243"/>
      <c r="G650" s="1243"/>
      <c r="H650" s="1243"/>
      <c r="I650" s="1243"/>
      <c r="J650" s="1243"/>
      <c r="K650" s="1243"/>
      <c r="L650" s="1243"/>
      <c r="M650" s="1243"/>
      <c r="N650" s="1243"/>
      <c r="O650" s="1263"/>
      <c r="P650" s="1243"/>
      <c r="Q650" s="1243"/>
      <c r="R650" s="1243"/>
      <c r="S650" s="1243"/>
      <c r="T650" s="1243"/>
      <c r="U650" s="1243"/>
      <c r="V650" s="1243"/>
      <c r="W650" s="1243"/>
      <c r="X650" s="1243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52"/>
      <c r="D651" s="1256"/>
      <c r="E651" s="1256"/>
      <c r="F651" s="1256"/>
      <c r="G651" s="1256"/>
      <c r="H651" s="1256"/>
      <c r="I651" s="1256"/>
      <c r="J651" s="1256"/>
      <c r="K651" s="1256"/>
      <c r="L651" s="1256"/>
      <c r="M651" s="1256"/>
      <c r="N651" s="1256"/>
      <c r="O651" s="1256"/>
      <c r="P651" s="1256"/>
      <c r="Q651" s="1264"/>
      <c r="R651" s="1256"/>
      <c r="S651" s="1256"/>
      <c r="T651" s="1243"/>
      <c r="U651" s="1243"/>
      <c r="V651" s="1243"/>
      <c r="W651" s="1243"/>
      <c r="X651" s="1243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3"/>
      <c r="D652" s="1253"/>
      <c r="E652" s="1253"/>
      <c r="F652" s="1265"/>
      <c r="G652" s="1253"/>
      <c r="H652" s="1253"/>
      <c r="I652" s="1265"/>
      <c r="J652" s="1257"/>
      <c r="K652" s="1257"/>
      <c r="L652" s="1266"/>
      <c r="M652" s="1257"/>
      <c r="N652" s="1257"/>
      <c r="O652" s="1257"/>
      <c r="P652" s="1257"/>
      <c r="Q652" s="1254"/>
      <c r="R652" s="1253"/>
      <c r="S652" s="1265"/>
      <c r="T652" s="1243"/>
      <c r="U652" s="1243"/>
      <c r="V652" s="1243"/>
      <c r="W652" s="1243"/>
      <c r="X652" s="1243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7"/>
      <c r="D653" s="1243"/>
      <c r="E653" s="1243"/>
      <c r="F653" s="1256"/>
      <c r="G653" s="1243"/>
      <c r="H653" s="1243"/>
      <c r="I653" s="1256"/>
      <c r="J653" s="1256"/>
      <c r="K653" s="1256"/>
      <c r="L653" s="1243"/>
      <c r="M653" s="1256"/>
      <c r="N653" s="1256"/>
      <c r="O653" s="1243"/>
      <c r="P653" s="1256"/>
      <c r="Q653" s="1256"/>
      <c r="R653" s="1243"/>
      <c r="S653" s="1256"/>
      <c r="T653" s="1243"/>
      <c r="U653" s="1243"/>
      <c r="V653" s="1243"/>
      <c r="W653" s="1243"/>
      <c r="X653" s="1243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3"/>
      <c r="D654" s="1243"/>
      <c r="E654" s="1243"/>
      <c r="F654" s="1249"/>
      <c r="G654" s="1243"/>
      <c r="H654" s="1243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3"/>
      <c r="U654" s="1243"/>
      <c r="V654" s="1243"/>
      <c r="W654" s="1243"/>
      <c r="X654" s="1243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8"/>
      <c r="D655" s="1248"/>
      <c r="E655" s="1248"/>
      <c r="F655" s="1251"/>
      <c r="G655" s="1248"/>
      <c r="H655" s="1248"/>
      <c r="I655" s="1251"/>
      <c r="J655" s="1251"/>
      <c r="K655" s="1251"/>
      <c r="L655" s="1251"/>
      <c r="M655" s="1251"/>
      <c r="N655" s="1251"/>
      <c r="O655" s="1251"/>
      <c r="P655" s="1251"/>
      <c r="Q655" s="1251"/>
      <c r="R655" s="1251"/>
      <c r="S655" s="1251"/>
      <c r="T655" s="1243"/>
      <c r="U655" s="1243"/>
      <c r="V655" s="1243"/>
      <c r="W655" s="1243"/>
      <c r="X655" s="1243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3"/>
      <c r="D656" s="1243"/>
      <c r="E656" s="1243"/>
      <c r="F656" s="1243"/>
      <c r="G656" s="1243"/>
      <c r="H656" s="1243"/>
      <c r="I656" s="1243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3"/>
      <c r="U656" s="1243"/>
      <c r="V656" s="1243"/>
      <c r="W656" s="1243"/>
      <c r="X656" s="1243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3"/>
      <c r="D657" s="1243"/>
      <c r="E657" s="1243"/>
      <c r="F657" s="1243"/>
      <c r="G657" s="1243"/>
      <c r="H657" s="1243"/>
      <c r="I657" s="1243"/>
      <c r="J657" s="1243"/>
      <c r="K657" s="1249"/>
      <c r="L657" s="1249"/>
      <c r="M657" s="1243"/>
      <c r="N657" s="1249"/>
      <c r="O657" s="1249"/>
      <c r="P657" s="1243"/>
      <c r="Q657" s="1249"/>
      <c r="R657" s="1249"/>
      <c r="S657" s="1243"/>
      <c r="T657" s="1243"/>
      <c r="U657" s="1243"/>
      <c r="V657" s="1243"/>
      <c r="W657" s="1243"/>
      <c r="X657" s="1243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3"/>
      <c r="D658" s="1243"/>
      <c r="E658" s="1243"/>
      <c r="F658" s="1243"/>
      <c r="G658" s="1243"/>
      <c r="H658" s="1243"/>
      <c r="I658" s="1243"/>
      <c r="J658" s="1243"/>
      <c r="K658" s="1249"/>
      <c r="L658" s="1249"/>
      <c r="M658" s="1243"/>
      <c r="N658" s="1249"/>
      <c r="O658" s="1249"/>
      <c r="P658" s="1243"/>
      <c r="Q658" s="1249"/>
      <c r="R658" s="1249"/>
      <c r="S658" s="1243"/>
      <c r="T658" s="1243"/>
      <c r="U658" s="1243"/>
      <c r="V658" s="1243"/>
      <c r="W658" s="1243"/>
      <c r="X658" s="1243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3"/>
      <c r="D659" s="1243"/>
      <c r="E659" s="1243"/>
      <c r="F659" s="1243"/>
      <c r="G659" s="1243"/>
      <c r="H659" s="1243"/>
      <c r="I659" s="1243"/>
      <c r="J659" s="1243"/>
      <c r="K659" s="1249"/>
      <c r="L659" s="1249"/>
      <c r="M659" s="1243"/>
      <c r="N659" s="1249"/>
      <c r="O659" s="1249"/>
      <c r="P659" s="1243"/>
      <c r="Q659" s="1249"/>
      <c r="R659" s="1249"/>
      <c r="S659" s="1243"/>
      <c r="T659" s="1243"/>
      <c r="U659" s="1243"/>
      <c r="V659" s="1243"/>
      <c r="W659" s="1243"/>
      <c r="X659" s="1243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3"/>
      <c r="D660" s="1243"/>
      <c r="E660" s="1243"/>
      <c r="F660" s="1243"/>
      <c r="G660" s="1243"/>
      <c r="H660" s="1243"/>
      <c r="I660" s="1243"/>
      <c r="J660" s="1243"/>
      <c r="K660" s="1249"/>
      <c r="L660" s="1249"/>
      <c r="M660" s="1243"/>
      <c r="N660" s="1249"/>
      <c r="O660" s="1249"/>
      <c r="P660" s="1243"/>
      <c r="Q660" s="1249"/>
      <c r="R660" s="1249"/>
      <c r="S660" s="1243"/>
      <c r="T660" s="1243"/>
      <c r="U660" s="1243"/>
      <c r="V660" s="1243"/>
      <c r="W660" s="1243"/>
      <c r="X660" s="1243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3"/>
      <c r="D661" s="1243"/>
      <c r="E661" s="1243"/>
      <c r="F661" s="1243"/>
      <c r="G661" s="1243"/>
      <c r="H661" s="1243"/>
      <c r="I661" s="1243"/>
      <c r="J661" s="1243"/>
      <c r="K661" s="1249"/>
      <c r="L661" s="1249"/>
      <c r="M661" s="1243"/>
      <c r="N661" s="1249"/>
      <c r="O661" s="1249"/>
      <c r="P661" s="1243"/>
      <c r="Q661" s="1249"/>
      <c r="R661" s="1249"/>
      <c r="S661" s="1243"/>
      <c r="T661" s="1243"/>
      <c r="U661" s="1243"/>
      <c r="V661" s="1243"/>
      <c r="W661" s="1243"/>
      <c r="X661" s="1243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3"/>
      <c r="D662" s="1243"/>
      <c r="E662" s="1243"/>
      <c r="F662" s="1243"/>
      <c r="G662" s="1243"/>
      <c r="H662" s="1243"/>
      <c r="I662" s="1243"/>
      <c r="J662" s="1243"/>
      <c r="K662" s="1249"/>
      <c r="L662" s="1251"/>
      <c r="M662" s="1243"/>
      <c r="N662" s="1249"/>
      <c r="O662" s="1249"/>
      <c r="P662" s="1243"/>
      <c r="Q662" s="1249"/>
      <c r="R662" s="1251"/>
      <c r="S662" s="1243"/>
      <c r="T662" s="1243"/>
      <c r="U662" s="1243"/>
      <c r="V662" s="1243"/>
      <c r="W662" s="1243"/>
      <c r="X662" s="1243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3"/>
      <c r="D663" s="1243"/>
      <c r="E663" s="1243"/>
      <c r="F663" s="1243"/>
      <c r="G663" s="1243"/>
      <c r="H663" s="1243"/>
      <c r="I663" s="1243"/>
      <c r="J663" s="1243"/>
      <c r="K663" s="1249"/>
      <c r="L663" s="1249"/>
      <c r="M663" s="1243"/>
      <c r="N663" s="1249"/>
      <c r="O663" s="1249"/>
      <c r="P663" s="1243"/>
      <c r="Q663" s="1249"/>
      <c r="R663" s="1249"/>
      <c r="S663" s="1243"/>
      <c r="T663" s="1243"/>
      <c r="U663" s="1243"/>
      <c r="V663" s="1243"/>
      <c r="W663" s="1243"/>
      <c r="X663" s="1243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3"/>
      <c r="D664" s="1243"/>
      <c r="E664" s="1243"/>
      <c r="F664" s="1243"/>
      <c r="G664" s="1243"/>
      <c r="H664" s="1243"/>
      <c r="I664" s="1243"/>
      <c r="J664" s="1243"/>
      <c r="K664" s="1243"/>
      <c r="L664" s="1243"/>
      <c r="M664" s="1243"/>
      <c r="N664" s="1251"/>
      <c r="O664" s="1251"/>
      <c r="P664" s="1243"/>
      <c r="Q664" s="1251"/>
      <c r="R664" s="1243"/>
      <c r="S664" s="1243"/>
      <c r="T664" s="1243"/>
      <c r="U664" s="1243"/>
      <c r="V664" s="1243"/>
      <c r="W664" s="1243"/>
      <c r="X664" s="1243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3"/>
      <c r="D665" s="1243"/>
      <c r="E665" s="1243"/>
      <c r="F665" s="1243"/>
      <c r="G665" s="1243"/>
      <c r="H665" s="1243"/>
      <c r="I665" s="1243"/>
      <c r="J665" s="1243"/>
      <c r="K665" s="1251"/>
      <c r="L665" s="1251"/>
      <c r="M665" s="1243"/>
      <c r="N665" s="1249"/>
      <c r="O665" s="1249"/>
      <c r="P665" s="1243"/>
      <c r="Q665" s="1249"/>
      <c r="R665" s="1251"/>
      <c r="S665" s="1243"/>
      <c r="T665" s="1243"/>
      <c r="U665" s="1243"/>
      <c r="V665" s="1243"/>
      <c r="W665" s="1243"/>
      <c r="X665" s="1243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3"/>
      <c r="D666" s="1243"/>
      <c r="E666" s="1243"/>
      <c r="F666" s="1243"/>
      <c r="G666" s="1243"/>
      <c r="H666" s="1243"/>
      <c r="I666" s="1243"/>
      <c r="J666" s="1243"/>
      <c r="K666" s="1249"/>
      <c r="L666" s="1249"/>
      <c r="M666" s="1243"/>
      <c r="N666" s="1249"/>
      <c r="O666" s="1249"/>
      <c r="P666" s="1243"/>
      <c r="Q666" s="1249"/>
      <c r="R666" s="1249"/>
      <c r="S666" s="1243"/>
      <c r="T666" s="1243"/>
      <c r="U666" s="1243"/>
      <c r="V666" s="1243"/>
      <c r="W666" s="1243"/>
      <c r="X666" s="1243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3"/>
      <c r="D667" s="1243"/>
      <c r="E667" s="1243"/>
      <c r="F667" s="1243"/>
      <c r="G667" s="1243"/>
      <c r="H667" s="1243"/>
      <c r="I667" s="1243"/>
      <c r="J667" s="1243"/>
      <c r="K667" s="1249"/>
      <c r="L667" s="1249"/>
      <c r="M667" s="1243"/>
      <c r="N667" s="1249"/>
      <c r="O667" s="1249"/>
      <c r="P667" s="1243"/>
      <c r="Q667" s="1249"/>
      <c r="R667" s="1249"/>
      <c r="S667" s="1243"/>
      <c r="T667" s="1243"/>
      <c r="U667" s="1243"/>
      <c r="V667" s="1243"/>
      <c r="W667" s="1243"/>
      <c r="X667" s="1243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3"/>
      <c r="D668" s="1243"/>
      <c r="E668" s="1243"/>
      <c r="F668" s="1243"/>
      <c r="G668" s="1243"/>
      <c r="H668" s="1243"/>
      <c r="I668" s="1243"/>
      <c r="J668" s="1243"/>
      <c r="K668" s="1249"/>
      <c r="L668" s="1249"/>
      <c r="M668" s="1243"/>
      <c r="N668" s="1249"/>
      <c r="O668" s="1249"/>
      <c r="P668" s="1243"/>
      <c r="Q668" s="1249"/>
      <c r="R668" s="1249"/>
      <c r="S668" s="1243"/>
      <c r="T668" s="1243"/>
      <c r="U668" s="1243"/>
      <c r="V668" s="1243"/>
      <c r="W668" s="1243"/>
      <c r="X668" s="1243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3"/>
      <c r="D669" s="1243"/>
      <c r="E669" s="1243"/>
      <c r="F669" s="1243"/>
      <c r="G669" s="1243"/>
      <c r="H669" s="1243"/>
      <c r="I669" s="1243"/>
      <c r="J669" s="1243"/>
      <c r="K669" s="1249"/>
      <c r="L669" s="1249"/>
      <c r="M669" s="1243"/>
      <c r="N669" s="1249"/>
      <c r="O669" s="1249"/>
      <c r="P669" s="1243"/>
      <c r="Q669" s="1249"/>
      <c r="R669" s="1249"/>
      <c r="S669" s="1243"/>
      <c r="T669" s="1243"/>
      <c r="U669" s="1243"/>
      <c r="V669" s="1243"/>
      <c r="W669" s="1243"/>
      <c r="X669" s="1243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3"/>
      <c r="D670" s="1243"/>
      <c r="E670" s="1243"/>
      <c r="F670" s="1243"/>
      <c r="G670" s="1243"/>
      <c r="H670" s="1243"/>
      <c r="I670" s="1243"/>
      <c r="J670" s="1243"/>
      <c r="K670" s="1249"/>
      <c r="L670" s="1249"/>
      <c r="M670" s="1243"/>
      <c r="N670" s="1249"/>
      <c r="O670" s="1249"/>
      <c r="P670" s="1243"/>
      <c r="Q670" s="1249"/>
      <c r="R670" s="1249"/>
      <c r="S670" s="1243"/>
      <c r="T670" s="1243"/>
      <c r="U670" s="1243"/>
      <c r="V670" s="1243"/>
      <c r="W670" s="1243"/>
      <c r="X670" s="1243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3"/>
      <c r="D671" s="1243"/>
      <c r="E671" s="1243"/>
      <c r="F671" s="1243"/>
      <c r="G671" s="1243"/>
      <c r="H671" s="1243"/>
      <c r="I671" s="1243"/>
      <c r="J671" s="1243"/>
      <c r="K671" s="1249"/>
      <c r="L671" s="1249"/>
      <c r="M671" s="1243"/>
      <c r="N671" s="1249"/>
      <c r="O671" s="1249"/>
      <c r="P671" s="1243"/>
      <c r="Q671" s="1249"/>
      <c r="R671" s="1249"/>
      <c r="S671" s="1243"/>
      <c r="T671" s="1243"/>
      <c r="U671" s="1243"/>
      <c r="V671" s="1243"/>
      <c r="W671" s="1243"/>
      <c r="X671" s="1243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3"/>
      <c r="D672" s="1243"/>
      <c r="E672" s="1243"/>
      <c r="F672" s="1243"/>
      <c r="G672" s="1243"/>
      <c r="H672" s="1243"/>
      <c r="I672" s="1243"/>
      <c r="J672" s="1243"/>
      <c r="K672" s="1249"/>
      <c r="L672" s="1249"/>
      <c r="M672" s="1243"/>
      <c r="N672" s="1249"/>
      <c r="O672" s="1249"/>
      <c r="P672" s="1243"/>
      <c r="Q672" s="1249"/>
      <c r="R672" s="1249"/>
      <c r="S672" s="1243"/>
      <c r="T672" s="1243"/>
      <c r="U672" s="1243"/>
      <c r="V672" s="1243"/>
      <c r="W672" s="1243"/>
      <c r="X672" s="1243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3"/>
      <c r="D673" s="1243"/>
      <c r="E673" s="1243"/>
      <c r="F673" s="1243"/>
      <c r="G673" s="1243"/>
      <c r="H673" s="1243"/>
      <c r="I673" s="1243"/>
      <c r="J673" s="1243"/>
      <c r="K673" s="1249"/>
      <c r="L673" s="1249"/>
      <c r="M673" s="1243"/>
      <c r="N673" s="1249"/>
      <c r="O673" s="1249"/>
      <c r="P673" s="1243"/>
      <c r="Q673" s="1249"/>
      <c r="R673" s="1249"/>
      <c r="S673" s="1243"/>
      <c r="T673" s="1243"/>
      <c r="U673" s="1243"/>
      <c r="V673" s="1243"/>
      <c r="W673" s="1243"/>
      <c r="X673" s="1243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3"/>
      <c r="D674" s="1243"/>
      <c r="E674" s="1243"/>
      <c r="F674" s="1243"/>
      <c r="G674" s="1243"/>
      <c r="H674" s="1243"/>
      <c r="I674" s="1243"/>
      <c r="J674" s="1243"/>
      <c r="K674" s="1249"/>
      <c r="L674" s="1249"/>
      <c r="M674" s="1243"/>
      <c r="N674" s="1251"/>
      <c r="O674" s="1251"/>
      <c r="P674" s="1243"/>
      <c r="Q674" s="1251"/>
      <c r="R674" s="1249"/>
      <c r="S674" s="1243"/>
      <c r="T674" s="1243"/>
      <c r="U674" s="1243"/>
      <c r="V674" s="1243"/>
      <c r="W674" s="1243"/>
      <c r="X674" s="1243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3"/>
      <c r="D675" s="1243"/>
      <c r="E675" s="1243"/>
      <c r="F675" s="1243"/>
      <c r="G675" s="1243"/>
      <c r="H675" s="1243"/>
      <c r="I675" s="1243"/>
      <c r="J675" s="1243"/>
      <c r="K675" s="1251"/>
      <c r="L675" s="1251"/>
      <c r="M675" s="1243"/>
      <c r="N675" s="1249"/>
      <c r="O675" s="1249"/>
      <c r="P675" s="1243"/>
      <c r="Q675" s="1249"/>
      <c r="R675" s="1251"/>
      <c r="S675" s="1243"/>
      <c r="T675" s="1243"/>
      <c r="U675" s="1243"/>
      <c r="V675" s="1243"/>
      <c r="W675" s="1243"/>
      <c r="X675" s="1243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3"/>
      <c r="D676" s="1243"/>
      <c r="E676" s="1243"/>
      <c r="F676" s="1243"/>
      <c r="G676" s="1243"/>
      <c r="H676" s="1243"/>
      <c r="I676" s="1243"/>
      <c r="J676" s="1243"/>
      <c r="K676" s="1249"/>
      <c r="L676" s="1249"/>
      <c r="M676" s="1243"/>
      <c r="N676" s="1249"/>
      <c r="O676" s="1249"/>
      <c r="P676" s="1243"/>
      <c r="Q676" s="1249"/>
      <c r="R676" s="1249"/>
      <c r="S676" s="1243"/>
      <c r="T676" s="1243"/>
      <c r="U676" s="1243"/>
      <c r="V676" s="1243"/>
      <c r="W676" s="1243"/>
      <c r="X676" s="1243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3"/>
      <c r="D677" s="1243"/>
      <c r="E677" s="1243"/>
      <c r="F677" s="1243"/>
      <c r="G677" s="1243"/>
      <c r="H677" s="1243"/>
      <c r="I677" s="1243"/>
      <c r="J677" s="1243"/>
      <c r="K677" s="1249"/>
      <c r="L677" s="1249"/>
      <c r="M677" s="1243"/>
      <c r="N677" s="1249"/>
      <c r="O677" s="1249"/>
      <c r="P677" s="1243"/>
      <c r="Q677" s="1249"/>
      <c r="R677" s="1249"/>
      <c r="S677" s="1243"/>
      <c r="T677" s="1243"/>
      <c r="U677" s="1243"/>
      <c r="V677" s="1243"/>
      <c r="W677" s="1243"/>
      <c r="X677" s="1243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3"/>
      <c r="D678" s="1243"/>
      <c r="E678" s="1243"/>
      <c r="F678" s="1243"/>
      <c r="G678" s="1243"/>
      <c r="H678" s="1243"/>
      <c r="I678" s="1243"/>
      <c r="J678" s="1243"/>
      <c r="K678" s="1249"/>
      <c r="L678" s="1249"/>
      <c r="M678" s="1243"/>
      <c r="N678" s="1249"/>
      <c r="O678" s="1249"/>
      <c r="P678" s="1243"/>
      <c r="Q678" s="1249"/>
      <c r="R678" s="1249"/>
      <c r="S678" s="1243"/>
      <c r="T678" s="1243"/>
      <c r="U678" s="1243"/>
      <c r="V678" s="1243"/>
      <c r="W678" s="1243"/>
      <c r="X678" s="1243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3"/>
      <c r="D679" s="1243"/>
      <c r="E679" s="1243"/>
      <c r="F679" s="1243"/>
      <c r="G679" s="1243"/>
      <c r="H679" s="1243"/>
      <c r="I679" s="1243"/>
      <c r="J679" s="1243"/>
      <c r="K679" s="1249"/>
      <c r="L679" s="1249"/>
      <c r="M679" s="1243"/>
      <c r="N679" s="1249"/>
      <c r="O679" s="1249"/>
      <c r="P679" s="1243"/>
      <c r="Q679" s="1249"/>
      <c r="R679" s="1249"/>
      <c r="S679" s="1243"/>
      <c r="T679" s="1243"/>
      <c r="U679" s="1243"/>
      <c r="V679" s="1243"/>
      <c r="W679" s="1243"/>
      <c r="X679" s="1243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3"/>
      <c r="D680" s="1243"/>
      <c r="E680" s="1243"/>
      <c r="F680" s="1243"/>
      <c r="G680" s="1243"/>
      <c r="H680" s="1243"/>
      <c r="I680" s="1243"/>
      <c r="J680" s="1243"/>
      <c r="K680" s="1249"/>
      <c r="L680" s="1249"/>
      <c r="M680" s="1243"/>
      <c r="N680" s="1249"/>
      <c r="O680" s="1249"/>
      <c r="P680" s="1243"/>
      <c r="Q680" s="1249"/>
      <c r="R680" s="1249"/>
      <c r="S680" s="1243"/>
      <c r="T680" s="1243"/>
      <c r="U680" s="1243"/>
      <c r="V680" s="1243"/>
      <c r="W680" s="1243"/>
      <c r="X680" s="1243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3"/>
      <c r="D681" s="1243"/>
      <c r="E681" s="1243"/>
      <c r="F681" s="1243"/>
      <c r="G681" s="1243"/>
      <c r="H681" s="1243"/>
      <c r="I681" s="1243"/>
      <c r="J681" s="1243"/>
      <c r="K681" s="1249"/>
      <c r="L681" s="1249"/>
      <c r="M681" s="1243"/>
      <c r="N681" s="1249"/>
      <c r="O681" s="1249"/>
      <c r="P681" s="1243"/>
      <c r="Q681" s="1249"/>
      <c r="R681" s="1249"/>
      <c r="S681" s="1243"/>
      <c r="T681" s="1243"/>
      <c r="U681" s="1243"/>
      <c r="V681" s="1243"/>
      <c r="W681" s="1243"/>
      <c r="X681" s="1243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3"/>
      <c r="D682" s="1243"/>
      <c r="E682" s="1243"/>
      <c r="F682" s="1243"/>
      <c r="G682" s="1243"/>
      <c r="H682" s="1243"/>
      <c r="I682" s="1243"/>
      <c r="J682" s="1243"/>
      <c r="K682" s="1249"/>
      <c r="L682" s="1249"/>
      <c r="M682" s="1243"/>
      <c r="N682" s="1249"/>
      <c r="O682" s="1249"/>
      <c r="P682" s="1243"/>
      <c r="Q682" s="1249"/>
      <c r="R682" s="1249"/>
      <c r="S682" s="1243"/>
      <c r="T682" s="1243"/>
      <c r="U682" s="1243"/>
      <c r="V682" s="1243"/>
      <c r="W682" s="1243"/>
      <c r="X682" s="1243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3"/>
      <c r="D683" s="1243"/>
      <c r="E683" s="1243"/>
      <c r="F683" s="1243"/>
      <c r="G683" s="1243"/>
      <c r="H683" s="1243"/>
      <c r="I683" s="1243"/>
      <c r="J683" s="1243"/>
      <c r="K683" s="1249"/>
      <c r="L683" s="1249"/>
      <c r="M683" s="1243"/>
      <c r="N683" s="1249"/>
      <c r="O683" s="1249"/>
      <c r="P683" s="1243"/>
      <c r="Q683" s="1249"/>
      <c r="R683" s="1249"/>
      <c r="S683" s="1243"/>
      <c r="T683" s="1243"/>
      <c r="U683" s="1243"/>
      <c r="V683" s="1243"/>
      <c r="W683" s="1243"/>
      <c r="X683" s="1243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3"/>
      <c r="D684" s="1243"/>
      <c r="E684" s="1243"/>
      <c r="F684" s="1243"/>
      <c r="G684" s="1243"/>
      <c r="H684" s="1243"/>
      <c r="I684" s="1243"/>
      <c r="J684" s="1243"/>
      <c r="K684" s="1249"/>
      <c r="L684" s="1249"/>
      <c r="M684" s="1243"/>
      <c r="N684" s="1249"/>
      <c r="O684" s="1249"/>
      <c r="P684" s="1243"/>
      <c r="Q684" s="1249"/>
      <c r="R684" s="1249"/>
      <c r="S684" s="1243"/>
      <c r="T684" s="1243"/>
      <c r="U684" s="1243"/>
      <c r="V684" s="1243"/>
      <c r="W684" s="1243"/>
      <c r="X684" s="1243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3"/>
      <c r="D685" s="1243"/>
      <c r="E685" s="1243"/>
      <c r="F685" s="1243"/>
      <c r="G685" s="1243"/>
      <c r="H685" s="1243"/>
      <c r="I685" s="1243"/>
      <c r="J685" s="1243"/>
      <c r="K685" s="1249"/>
      <c r="L685" s="1249"/>
      <c r="M685" s="1243"/>
      <c r="N685" s="1249"/>
      <c r="O685" s="1249"/>
      <c r="P685" s="1243"/>
      <c r="Q685" s="1249"/>
      <c r="R685" s="1249"/>
      <c r="S685" s="1243"/>
      <c r="T685" s="1243"/>
      <c r="U685" s="1243"/>
      <c r="V685" s="1243"/>
      <c r="W685" s="1243"/>
      <c r="X685" s="1243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3"/>
      <c r="D686" s="1243"/>
      <c r="E686" s="1243"/>
      <c r="F686" s="1243"/>
      <c r="G686" s="1243"/>
      <c r="H686" s="1243"/>
      <c r="I686" s="1243"/>
      <c r="J686" s="1243"/>
      <c r="K686" s="1249"/>
      <c r="L686" s="1249"/>
      <c r="M686" s="1243"/>
      <c r="N686" s="1249"/>
      <c r="O686" s="1249"/>
      <c r="P686" s="1243"/>
      <c r="Q686" s="1249"/>
      <c r="R686" s="1249"/>
      <c r="S686" s="1243"/>
      <c r="T686" s="1243"/>
      <c r="U686" s="1243"/>
      <c r="V686" s="1243"/>
      <c r="W686" s="1243"/>
      <c r="X686" s="1243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3"/>
      <c r="D687" s="1243"/>
      <c r="E687" s="1243"/>
      <c r="F687" s="1243"/>
      <c r="G687" s="1243"/>
      <c r="H687" s="1243"/>
      <c r="I687" s="1243"/>
      <c r="J687" s="1243"/>
      <c r="K687" s="1249"/>
      <c r="L687" s="1249"/>
      <c r="M687" s="1243"/>
      <c r="N687" s="1249"/>
      <c r="O687" s="1249"/>
      <c r="P687" s="1243"/>
      <c r="Q687" s="1249"/>
      <c r="R687" s="1249"/>
      <c r="S687" s="1243"/>
      <c r="T687" s="1243"/>
      <c r="U687" s="1243"/>
      <c r="V687" s="1243"/>
      <c r="W687" s="1243"/>
      <c r="X687" s="1243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3"/>
      <c r="D688" s="1243"/>
      <c r="E688" s="1243"/>
      <c r="F688" s="1243"/>
      <c r="G688" s="1243"/>
      <c r="H688" s="1243"/>
      <c r="I688" s="1243"/>
      <c r="J688" s="1243"/>
      <c r="K688" s="1249"/>
      <c r="L688" s="1249"/>
      <c r="M688" s="1243"/>
      <c r="N688" s="1249"/>
      <c r="O688" s="1249"/>
      <c r="P688" s="1243"/>
      <c r="Q688" s="1249"/>
      <c r="R688" s="1249"/>
      <c r="S688" s="1243"/>
      <c r="T688" s="1243"/>
      <c r="U688" s="1243"/>
      <c r="V688" s="1243"/>
      <c r="W688" s="1243"/>
      <c r="X688" s="1243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3"/>
      <c r="D689" s="1243"/>
      <c r="E689" s="1243"/>
      <c r="F689" s="1243"/>
      <c r="G689" s="1243"/>
      <c r="H689" s="1243"/>
      <c r="I689" s="1243"/>
      <c r="J689" s="1243"/>
      <c r="K689" s="1249"/>
      <c r="L689" s="1249"/>
      <c r="M689" s="1243"/>
      <c r="N689" s="1243"/>
      <c r="O689" s="1243"/>
      <c r="P689" s="1243"/>
      <c r="Q689" s="1243"/>
      <c r="R689" s="1249"/>
      <c r="S689" s="1243"/>
      <c r="T689" s="1243"/>
      <c r="U689" s="1243"/>
      <c r="V689" s="1243"/>
      <c r="W689" s="1243"/>
      <c r="X689" s="1243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3"/>
      <c r="D690" s="1243"/>
      <c r="E690" s="1243"/>
      <c r="F690" s="1243"/>
      <c r="G690" s="1243"/>
      <c r="H690" s="1243"/>
      <c r="I690" s="1243"/>
      <c r="J690" s="1243"/>
      <c r="K690" s="1249"/>
      <c r="L690" s="1249"/>
      <c r="M690" s="1243"/>
      <c r="N690" s="1251"/>
      <c r="O690" s="1251"/>
      <c r="P690" s="1243"/>
      <c r="Q690" s="1251"/>
      <c r="R690" s="1249"/>
      <c r="S690" s="1243"/>
      <c r="T690" s="1243"/>
      <c r="U690" s="1243"/>
      <c r="V690" s="1243"/>
      <c r="W690" s="1243"/>
      <c r="X690" s="1243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3"/>
      <c r="D691" s="1243"/>
      <c r="E691" s="1243"/>
      <c r="F691" s="1243"/>
      <c r="G691" s="1243"/>
      <c r="H691" s="1243"/>
      <c r="I691" s="1243"/>
      <c r="J691" s="1243"/>
      <c r="K691" s="1243"/>
      <c r="L691" s="1243"/>
      <c r="M691" s="1243"/>
      <c r="N691" s="1249"/>
      <c r="O691" s="1249"/>
      <c r="P691" s="1243"/>
      <c r="Q691" s="1249"/>
      <c r="R691" s="1243"/>
      <c r="S691" s="1243"/>
      <c r="T691" s="1243"/>
      <c r="U691" s="1243"/>
      <c r="V691" s="1243"/>
      <c r="W691" s="1243"/>
      <c r="X691" s="1243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3"/>
      <c r="D692" s="1243"/>
      <c r="E692" s="1243"/>
      <c r="F692" s="1243"/>
      <c r="G692" s="1243"/>
      <c r="H692" s="1243"/>
      <c r="I692" s="1243"/>
      <c r="J692" s="1243"/>
      <c r="K692" s="1251"/>
      <c r="L692" s="1251"/>
      <c r="M692" s="1243"/>
      <c r="N692" s="1249"/>
      <c r="O692" s="1249"/>
      <c r="P692" s="1243"/>
      <c r="Q692" s="1249"/>
      <c r="R692" s="1251"/>
      <c r="S692" s="1243"/>
      <c r="T692" s="1243"/>
      <c r="U692" s="1243"/>
      <c r="V692" s="1243"/>
      <c r="W692" s="1243"/>
      <c r="X692" s="1243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3"/>
      <c r="D693" s="1243"/>
      <c r="E693" s="1243"/>
      <c r="F693" s="1243"/>
      <c r="G693" s="1243"/>
      <c r="H693" s="1243"/>
      <c r="I693" s="1243"/>
      <c r="J693" s="1243"/>
      <c r="K693" s="1249"/>
      <c r="L693" s="1249"/>
      <c r="M693" s="1243"/>
      <c r="N693" s="1249"/>
      <c r="O693" s="1249"/>
      <c r="P693" s="1243"/>
      <c r="Q693" s="1249"/>
      <c r="R693" s="1249"/>
      <c r="S693" s="1243"/>
      <c r="T693" s="1243"/>
      <c r="U693" s="1243"/>
      <c r="V693" s="1243"/>
      <c r="W693" s="1243"/>
      <c r="X693" s="1243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3"/>
      <c r="D694" s="1243"/>
      <c r="E694" s="1243"/>
      <c r="F694" s="1243"/>
      <c r="G694" s="1243"/>
      <c r="H694" s="1243"/>
      <c r="I694" s="1243"/>
      <c r="J694" s="1243"/>
      <c r="K694" s="1249"/>
      <c r="L694" s="1249"/>
      <c r="M694" s="1243"/>
      <c r="N694" s="1249"/>
      <c r="O694" s="1249"/>
      <c r="P694" s="1243"/>
      <c r="Q694" s="1249"/>
      <c r="R694" s="1249"/>
      <c r="S694" s="1243"/>
      <c r="T694" s="1243"/>
      <c r="U694" s="1243"/>
      <c r="V694" s="1243"/>
      <c r="W694" s="1243"/>
      <c r="X694" s="1243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3"/>
      <c r="D695" s="1243"/>
      <c r="E695" s="1243"/>
      <c r="F695" s="1243"/>
      <c r="G695" s="1243"/>
      <c r="H695" s="1243"/>
      <c r="I695" s="1243"/>
      <c r="J695" s="1243"/>
      <c r="K695" s="1249"/>
      <c r="L695" s="1249"/>
      <c r="M695" s="1243"/>
      <c r="N695" s="1249"/>
      <c r="O695" s="1249"/>
      <c r="P695" s="1243"/>
      <c r="Q695" s="1249"/>
      <c r="R695" s="1249"/>
      <c r="S695" s="1243"/>
      <c r="T695" s="1243"/>
      <c r="U695" s="1243"/>
      <c r="V695" s="1243"/>
      <c r="W695" s="1243"/>
      <c r="X695" s="1243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3"/>
      <c r="D696" s="1243"/>
      <c r="E696" s="1243"/>
      <c r="F696" s="1243"/>
      <c r="G696" s="1243"/>
      <c r="H696" s="1243"/>
      <c r="I696" s="1243"/>
      <c r="J696" s="1243"/>
      <c r="K696" s="1249"/>
      <c r="L696" s="1249"/>
      <c r="M696" s="1243"/>
      <c r="N696" s="1249"/>
      <c r="O696" s="1249"/>
      <c r="P696" s="1243"/>
      <c r="Q696" s="1249"/>
      <c r="R696" s="1249"/>
      <c r="S696" s="1243"/>
      <c r="T696" s="1243"/>
      <c r="U696" s="1243"/>
      <c r="V696" s="1243"/>
      <c r="W696" s="1243"/>
      <c r="X696" s="1243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3"/>
      <c r="D697" s="1243"/>
      <c r="E697" s="1243"/>
      <c r="F697" s="1243"/>
      <c r="G697" s="1243"/>
      <c r="H697" s="1243"/>
      <c r="I697" s="1243"/>
      <c r="J697" s="1243"/>
      <c r="K697" s="1249"/>
      <c r="L697" s="1249"/>
      <c r="M697" s="1243"/>
      <c r="N697" s="1249"/>
      <c r="O697" s="1249"/>
      <c r="P697" s="1243"/>
      <c r="Q697" s="1249"/>
      <c r="R697" s="1249"/>
      <c r="S697" s="1243"/>
      <c r="T697" s="1243"/>
      <c r="U697" s="1243"/>
      <c r="V697" s="1243"/>
      <c r="W697" s="1243"/>
      <c r="X697" s="1243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3"/>
      <c r="D698" s="1243"/>
      <c r="E698" s="1243"/>
      <c r="F698" s="1243"/>
      <c r="G698" s="1243"/>
      <c r="H698" s="1243"/>
      <c r="I698" s="1243"/>
      <c r="J698" s="1243"/>
      <c r="K698" s="1249"/>
      <c r="L698" s="1249"/>
      <c r="M698" s="1243"/>
      <c r="N698" s="1249"/>
      <c r="O698" s="1249"/>
      <c r="P698" s="1243"/>
      <c r="Q698" s="1249"/>
      <c r="R698" s="1249"/>
      <c r="S698" s="1243"/>
      <c r="T698" s="1243"/>
      <c r="U698" s="1243"/>
      <c r="V698" s="1243"/>
      <c r="W698" s="1243"/>
      <c r="X698" s="1243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3"/>
      <c r="D699" s="1243"/>
      <c r="E699" s="1243"/>
      <c r="F699" s="1243"/>
      <c r="G699" s="1243"/>
      <c r="H699" s="1243"/>
      <c r="I699" s="1243"/>
      <c r="J699" s="1243"/>
      <c r="K699" s="1249"/>
      <c r="L699" s="1251"/>
      <c r="M699" s="1243"/>
      <c r="N699" s="1249"/>
      <c r="O699" s="1249"/>
      <c r="P699" s="1243"/>
      <c r="Q699" s="1249"/>
      <c r="R699" s="1251"/>
      <c r="S699" s="1243"/>
      <c r="T699" s="1243"/>
      <c r="U699" s="1243"/>
      <c r="V699" s="1243"/>
      <c r="W699" s="1243"/>
      <c r="X699" s="1243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3"/>
      <c r="D700" s="1243"/>
      <c r="E700" s="1243"/>
      <c r="F700" s="1243"/>
      <c r="G700" s="1243"/>
      <c r="H700" s="1243"/>
      <c r="I700" s="1243"/>
      <c r="J700" s="1243"/>
      <c r="K700" s="1249"/>
      <c r="L700" s="1249"/>
      <c r="M700" s="1243"/>
      <c r="N700" s="1249"/>
      <c r="O700" s="1249"/>
      <c r="P700" s="1243"/>
      <c r="Q700" s="1249"/>
      <c r="R700" s="1249"/>
      <c r="S700" s="1243"/>
      <c r="T700" s="1243"/>
      <c r="U700" s="1243"/>
      <c r="V700" s="1243"/>
      <c r="W700" s="1243"/>
      <c r="X700" s="1243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3"/>
      <c r="D701" s="1243"/>
      <c r="E701" s="1243"/>
      <c r="F701" s="1243"/>
      <c r="G701" s="1243"/>
      <c r="H701" s="1243"/>
      <c r="I701" s="1243"/>
      <c r="J701" s="1243"/>
      <c r="K701" s="1249"/>
      <c r="L701" s="1249"/>
      <c r="M701" s="1243"/>
      <c r="N701" s="1249"/>
      <c r="O701" s="1249"/>
      <c r="P701" s="1243"/>
      <c r="Q701" s="1249"/>
      <c r="R701" s="1249"/>
      <c r="S701" s="1243"/>
      <c r="T701" s="1243"/>
      <c r="U701" s="1243"/>
      <c r="V701" s="1243"/>
      <c r="W701" s="1243"/>
      <c r="X701" s="1243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3"/>
      <c r="D702" s="1243"/>
      <c r="E702" s="1243"/>
      <c r="F702" s="1243"/>
      <c r="G702" s="1243"/>
      <c r="H702" s="1243"/>
      <c r="I702" s="1243"/>
      <c r="J702" s="1243"/>
      <c r="K702" s="1249"/>
      <c r="L702" s="1249"/>
      <c r="M702" s="1243"/>
      <c r="N702" s="1251"/>
      <c r="O702" s="1251"/>
      <c r="P702" s="1243"/>
      <c r="Q702" s="1251"/>
      <c r="R702" s="1249"/>
      <c r="S702" s="1243"/>
      <c r="T702" s="1243"/>
      <c r="U702" s="1243"/>
      <c r="V702" s="1243"/>
      <c r="W702" s="1243"/>
      <c r="X702" s="1243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2026-01-16T18:49:20Z</dcterms:modified>
</cp:coreProperties>
</file>